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3740" activeTab="4"/>
  </bookViews>
  <sheets>
    <sheet name="BDI" sheetId="3" r:id="rId1"/>
    <sheet name="MC" sheetId="8" r:id="rId2"/>
    <sheet name="PO" sheetId="6" r:id="rId3"/>
    <sheet name="CFF" sheetId="5" r:id="rId4"/>
    <sheet name="BM" sheetId="7" r:id="rId5"/>
  </sheets>
  <definedNames>
    <definedName name="_xlnm.Print_Area" localSheetId="4">BM!$A$1:$P$581</definedName>
    <definedName name="_xlnm.Print_Area" localSheetId="3">CFF!$A$1:$I$32</definedName>
    <definedName name="_xlnm.Print_Area" localSheetId="1">MC!$A$1:$H$581</definedName>
    <definedName name="_xlnm.Print_Area" localSheetId="2">PO!$A$1:$I$581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3" i="7" l="1"/>
  <c r="F572" i="7"/>
  <c r="F571" i="7"/>
  <c r="F478" i="7"/>
  <c r="F477" i="7"/>
  <c r="F476" i="7" s="1"/>
  <c r="G572" i="8"/>
  <c r="G477" i="8"/>
  <c r="F573" i="6"/>
  <c r="F572" i="6"/>
  <c r="F571" i="6"/>
  <c r="F476" i="6"/>
  <c r="F478" i="6"/>
  <c r="F477" i="6"/>
  <c r="G149" i="7" l="1"/>
  <c r="H149" i="7" s="1"/>
  <c r="G148" i="7"/>
  <c r="H148" i="7" s="1"/>
  <c r="H573" i="7"/>
  <c r="I573" i="7" s="1"/>
  <c r="H572" i="7"/>
  <c r="I572" i="7" s="1"/>
  <c r="H571" i="7"/>
  <c r="I571" i="7" s="1"/>
  <c r="H570" i="7"/>
  <c r="H569" i="7"/>
  <c r="F569" i="7"/>
  <c r="F570" i="7" s="1"/>
  <c r="I570" i="7" s="1"/>
  <c r="I568" i="7"/>
  <c r="H568" i="7"/>
  <c r="I567" i="7"/>
  <c r="H567" i="7"/>
  <c r="H566" i="7"/>
  <c r="I566" i="7" s="1"/>
  <c r="F566" i="7"/>
  <c r="I565" i="7"/>
  <c r="H565" i="7"/>
  <c r="H564" i="7"/>
  <c r="I564" i="7" s="1"/>
  <c r="H563" i="7"/>
  <c r="F563" i="7"/>
  <c r="I563" i="7" s="1"/>
  <c r="H562" i="7"/>
  <c r="I562" i="7" s="1"/>
  <c r="I561" i="7"/>
  <c r="H561" i="7"/>
  <c r="I560" i="7"/>
  <c r="H560" i="7"/>
  <c r="F560" i="7"/>
  <c r="I559" i="7"/>
  <c r="H559" i="7"/>
  <c r="I558" i="7"/>
  <c r="H558" i="7"/>
  <c r="H557" i="7"/>
  <c r="I557" i="7" s="1"/>
  <c r="F557" i="7"/>
  <c r="H556" i="7"/>
  <c r="I556" i="7" s="1"/>
  <c r="H555" i="7"/>
  <c r="I555" i="7" s="1"/>
  <c r="H554" i="7"/>
  <c r="F554" i="7"/>
  <c r="I554" i="7" s="1"/>
  <c r="H553" i="7"/>
  <c r="I553" i="7" s="1"/>
  <c r="I552" i="7"/>
  <c r="H552" i="7"/>
  <c r="I551" i="7"/>
  <c r="H551" i="7"/>
  <c r="F551" i="7"/>
  <c r="I550" i="7"/>
  <c r="H550" i="7"/>
  <c r="H549" i="7"/>
  <c r="I549" i="7" s="1"/>
  <c r="H548" i="7"/>
  <c r="I548" i="7" s="1"/>
  <c r="F548" i="7"/>
  <c r="H547" i="7"/>
  <c r="I547" i="7" s="1"/>
  <c r="H546" i="7"/>
  <c r="I546" i="7" s="1"/>
  <c r="H545" i="7"/>
  <c r="F545" i="7"/>
  <c r="I545" i="7" s="1"/>
  <c r="H544" i="7"/>
  <c r="H543" i="7"/>
  <c r="H542" i="7"/>
  <c r="I542" i="7" s="1"/>
  <c r="I541" i="7"/>
  <c r="H541" i="7"/>
  <c r="I540" i="7"/>
  <c r="H540" i="7"/>
  <c r="F540" i="7"/>
  <c r="F538" i="7" s="1"/>
  <c r="F539" i="7" s="1"/>
  <c r="I539" i="7" s="1"/>
  <c r="H539" i="7"/>
  <c r="H538" i="7"/>
  <c r="I538" i="7" s="1"/>
  <c r="I537" i="7"/>
  <c r="H537" i="7"/>
  <c r="I536" i="7"/>
  <c r="H536" i="7"/>
  <c r="I535" i="7"/>
  <c r="H535" i="7"/>
  <c r="F535" i="7"/>
  <c r="H534" i="7"/>
  <c r="H533" i="7"/>
  <c r="F533" i="7"/>
  <c r="F534" i="7" s="1"/>
  <c r="I534" i="7" s="1"/>
  <c r="H532" i="7"/>
  <c r="I532" i="7" s="1"/>
  <c r="I531" i="7"/>
  <c r="H531" i="7"/>
  <c r="H530" i="7"/>
  <c r="I530" i="7" s="1"/>
  <c r="F530" i="7"/>
  <c r="H529" i="7"/>
  <c r="I528" i="7"/>
  <c r="H528" i="7"/>
  <c r="F528" i="7"/>
  <c r="F529" i="7" s="1"/>
  <c r="I529" i="7" s="1"/>
  <c r="I527" i="7"/>
  <c r="H527" i="7"/>
  <c r="I526" i="7"/>
  <c r="H526" i="7"/>
  <c r="H525" i="7"/>
  <c r="I525" i="7" s="1"/>
  <c r="F525" i="7"/>
  <c r="F523" i="7" s="1"/>
  <c r="H524" i="7"/>
  <c r="H523" i="7"/>
  <c r="I522" i="7"/>
  <c r="H522" i="7"/>
  <c r="H521" i="7"/>
  <c r="I521" i="7" s="1"/>
  <c r="H520" i="7"/>
  <c r="I520" i="7" s="1"/>
  <c r="F520" i="7"/>
  <c r="F518" i="7" s="1"/>
  <c r="F519" i="7" s="1"/>
  <c r="H519" i="7"/>
  <c r="I519" i="7" s="1"/>
  <c r="H518" i="7"/>
  <c r="I518" i="7" s="1"/>
  <c r="H517" i="7"/>
  <c r="I517" i="7" s="1"/>
  <c r="H516" i="7"/>
  <c r="I516" i="7" s="1"/>
  <c r="H515" i="7"/>
  <c r="I515" i="7" s="1"/>
  <c r="F515" i="7"/>
  <c r="F513" i="7" s="1"/>
  <c r="F514" i="7" s="1"/>
  <c r="H514" i="7"/>
  <c r="H513" i="7"/>
  <c r="I513" i="7" s="1"/>
  <c r="H512" i="7"/>
  <c r="I512" i="7" s="1"/>
  <c r="H511" i="7"/>
  <c r="I511" i="7" s="1"/>
  <c r="H510" i="7"/>
  <c r="F510" i="7"/>
  <c r="F508" i="7" s="1"/>
  <c r="F509" i="7" s="1"/>
  <c r="H509" i="7"/>
  <c r="H508" i="7"/>
  <c r="H507" i="7"/>
  <c r="I507" i="7" s="1"/>
  <c r="I506" i="7"/>
  <c r="H506" i="7"/>
  <c r="H505" i="7"/>
  <c r="F505" i="7"/>
  <c r="F503" i="7" s="1"/>
  <c r="F504" i="7" s="1"/>
  <c r="I504" i="7" s="1"/>
  <c r="H504" i="7"/>
  <c r="H503" i="7"/>
  <c r="H502" i="7"/>
  <c r="I502" i="7" s="1"/>
  <c r="I501" i="7"/>
  <c r="H501" i="7"/>
  <c r="I500" i="7"/>
  <c r="H500" i="7"/>
  <c r="F500" i="7"/>
  <c r="H499" i="7"/>
  <c r="H498" i="7"/>
  <c r="F498" i="7"/>
  <c r="F499" i="7" s="1"/>
  <c r="I499" i="7" s="1"/>
  <c r="H497" i="7"/>
  <c r="I497" i="7" s="1"/>
  <c r="I496" i="7"/>
  <c r="H496" i="7"/>
  <c r="I495" i="7"/>
  <c r="H495" i="7"/>
  <c r="F495" i="7"/>
  <c r="H494" i="7"/>
  <c r="H493" i="7"/>
  <c r="F493" i="7"/>
  <c r="F494" i="7" s="1"/>
  <c r="I494" i="7" s="1"/>
  <c r="I492" i="7"/>
  <c r="H492" i="7"/>
  <c r="I491" i="7"/>
  <c r="H491" i="7"/>
  <c r="H490" i="7"/>
  <c r="I490" i="7" s="1"/>
  <c r="F490" i="7"/>
  <c r="F488" i="7" s="1"/>
  <c r="H489" i="7"/>
  <c r="H488" i="7"/>
  <c r="I487" i="7"/>
  <c r="H487" i="7"/>
  <c r="I486" i="7"/>
  <c r="H486" i="7"/>
  <c r="H485" i="7"/>
  <c r="I485" i="7" s="1"/>
  <c r="F485" i="7"/>
  <c r="H484" i="7"/>
  <c r="I483" i="7"/>
  <c r="H483" i="7"/>
  <c r="F483" i="7"/>
  <c r="F484" i="7" s="1"/>
  <c r="I482" i="7"/>
  <c r="H482" i="7"/>
  <c r="H481" i="7"/>
  <c r="I481" i="7" s="1"/>
  <c r="H480" i="7"/>
  <c r="I480" i="7" s="1"/>
  <c r="H478" i="7"/>
  <c r="I478" i="7" s="1"/>
  <c r="H477" i="7"/>
  <c r="I477" i="7" s="1"/>
  <c r="I476" i="7"/>
  <c r="H476" i="7"/>
  <c r="I475" i="7"/>
  <c r="H475" i="7"/>
  <c r="F475" i="7"/>
  <c r="I474" i="7"/>
  <c r="H474" i="7"/>
  <c r="F474" i="7"/>
  <c r="I473" i="7"/>
  <c r="H473" i="7"/>
  <c r="I472" i="7"/>
  <c r="H472" i="7"/>
  <c r="F472" i="7"/>
  <c r="I471" i="7"/>
  <c r="H471" i="7"/>
  <c r="F471" i="7"/>
  <c r="I470" i="7"/>
  <c r="H470" i="7"/>
  <c r="I469" i="7"/>
  <c r="H469" i="7"/>
  <c r="H468" i="7"/>
  <c r="I468" i="7" s="1"/>
  <c r="F468" i="7"/>
  <c r="H467" i="7"/>
  <c r="I467" i="7" s="1"/>
  <c r="H466" i="7"/>
  <c r="I466" i="7" s="1"/>
  <c r="H465" i="7"/>
  <c r="F465" i="7"/>
  <c r="I465" i="7" s="1"/>
  <c r="H464" i="7"/>
  <c r="I464" i="7" s="1"/>
  <c r="I463" i="7"/>
  <c r="H463" i="7"/>
  <c r="I462" i="7"/>
  <c r="H462" i="7"/>
  <c r="F462" i="7"/>
  <c r="I461" i="7"/>
  <c r="H461" i="7"/>
  <c r="H460" i="7"/>
  <c r="I460" i="7" s="1"/>
  <c r="H459" i="7"/>
  <c r="I459" i="7" s="1"/>
  <c r="F459" i="7"/>
  <c r="H458" i="7"/>
  <c r="I458" i="7" s="1"/>
  <c r="H457" i="7"/>
  <c r="I457" i="7" s="1"/>
  <c r="H456" i="7"/>
  <c r="F456" i="7"/>
  <c r="I456" i="7" s="1"/>
  <c r="H455" i="7"/>
  <c r="H454" i="7"/>
  <c r="H453" i="7"/>
  <c r="I453" i="7" s="1"/>
  <c r="I452" i="7"/>
  <c r="H452" i="7"/>
  <c r="I451" i="7"/>
  <c r="H451" i="7"/>
  <c r="F451" i="7"/>
  <c r="F449" i="7" s="1"/>
  <c r="H450" i="7"/>
  <c r="H449" i="7"/>
  <c r="I448" i="7"/>
  <c r="H448" i="7"/>
  <c r="I447" i="7"/>
  <c r="H447" i="7"/>
  <c r="I446" i="7"/>
  <c r="H446" i="7"/>
  <c r="F446" i="7"/>
  <c r="H445" i="7"/>
  <c r="H444" i="7"/>
  <c r="F444" i="7"/>
  <c r="F445" i="7" s="1"/>
  <c r="I445" i="7" s="1"/>
  <c r="I443" i="7"/>
  <c r="H443" i="7"/>
  <c r="I442" i="7"/>
  <c r="H442" i="7"/>
  <c r="H441" i="7"/>
  <c r="I441" i="7" s="1"/>
  <c r="F441" i="7"/>
  <c r="H440" i="7"/>
  <c r="I439" i="7"/>
  <c r="H439" i="7"/>
  <c r="F439" i="7"/>
  <c r="F440" i="7" s="1"/>
  <c r="I440" i="7" s="1"/>
  <c r="I438" i="7"/>
  <c r="H438" i="7"/>
  <c r="I437" i="7"/>
  <c r="H437" i="7"/>
  <c r="H436" i="7"/>
  <c r="I436" i="7" s="1"/>
  <c r="F436" i="7"/>
  <c r="F434" i="7" s="1"/>
  <c r="H435" i="7"/>
  <c r="H434" i="7"/>
  <c r="I433" i="7"/>
  <c r="H433" i="7"/>
  <c r="H432" i="7"/>
  <c r="I432" i="7" s="1"/>
  <c r="H431" i="7"/>
  <c r="I431" i="7" s="1"/>
  <c r="F431" i="7"/>
  <c r="F429" i="7" s="1"/>
  <c r="F430" i="7" s="1"/>
  <c r="H430" i="7"/>
  <c r="H429" i="7"/>
  <c r="I428" i="7"/>
  <c r="H428" i="7"/>
  <c r="H427" i="7"/>
  <c r="I427" i="7" s="1"/>
  <c r="H426" i="7"/>
  <c r="I426" i="7" s="1"/>
  <c r="F426" i="7"/>
  <c r="F424" i="7" s="1"/>
  <c r="F425" i="7" s="1"/>
  <c r="H425" i="7"/>
  <c r="H424" i="7"/>
  <c r="I424" i="7" s="1"/>
  <c r="H423" i="7"/>
  <c r="I423" i="7" s="1"/>
  <c r="H422" i="7"/>
  <c r="I422" i="7" s="1"/>
  <c r="H421" i="7"/>
  <c r="F421" i="7"/>
  <c r="F419" i="7" s="1"/>
  <c r="F420" i="7" s="1"/>
  <c r="H420" i="7"/>
  <c r="I420" i="7" s="1"/>
  <c r="H419" i="7"/>
  <c r="I419" i="7" s="1"/>
  <c r="H418" i="7"/>
  <c r="I418" i="7" s="1"/>
  <c r="I417" i="7"/>
  <c r="H417" i="7"/>
  <c r="H416" i="7"/>
  <c r="F416" i="7"/>
  <c r="F414" i="7" s="1"/>
  <c r="F415" i="7" s="1"/>
  <c r="I415" i="7" s="1"/>
  <c r="H415" i="7"/>
  <c r="H414" i="7"/>
  <c r="I414" i="7" s="1"/>
  <c r="H413" i="7"/>
  <c r="I413" i="7" s="1"/>
  <c r="I412" i="7"/>
  <c r="H412" i="7"/>
  <c r="I411" i="7"/>
  <c r="H411" i="7"/>
  <c r="F411" i="7"/>
  <c r="H410" i="7"/>
  <c r="H409" i="7"/>
  <c r="F409" i="7"/>
  <c r="F410" i="7" s="1"/>
  <c r="I410" i="7" s="1"/>
  <c r="H408" i="7"/>
  <c r="I408" i="7" s="1"/>
  <c r="I407" i="7"/>
  <c r="H407" i="7"/>
  <c r="I406" i="7"/>
  <c r="H406" i="7"/>
  <c r="I404" i="7"/>
  <c r="H404" i="7"/>
  <c r="F404" i="7"/>
  <c r="H403" i="7"/>
  <c r="H402" i="7"/>
  <c r="F402" i="7"/>
  <c r="F403" i="7" s="1"/>
  <c r="I403" i="7" s="1"/>
  <c r="H401" i="7"/>
  <c r="I401" i="7" s="1"/>
  <c r="F401" i="7"/>
  <c r="H400" i="7"/>
  <c r="I400" i="7" s="1"/>
  <c r="F400" i="7"/>
  <c r="H399" i="7"/>
  <c r="I399" i="7" s="1"/>
  <c r="I398" i="7"/>
  <c r="H398" i="7"/>
  <c r="I397" i="7"/>
  <c r="H397" i="7"/>
  <c r="I396" i="7"/>
  <c r="H396" i="7"/>
  <c r="H395" i="7"/>
  <c r="I395" i="7" s="1"/>
  <c r="F395" i="7"/>
  <c r="H394" i="7"/>
  <c r="I394" i="7" s="1"/>
  <c r="I393" i="7"/>
  <c r="H393" i="7"/>
  <c r="F393" i="7"/>
  <c r="F394" i="7" s="1"/>
  <c r="I392" i="7"/>
  <c r="H392" i="7"/>
  <c r="H391" i="7"/>
  <c r="I391" i="7" s="1"/>
  <c r="H390" i="7"/>
  <c r="I390" i="7" s="1"/>
  <c r="F390" i="7"/>
  <c r="H389" i="7"/>
  <c r="I389" i="7" s="1"/>
  <c r="H388" i="7"/>
  <c r="I388" i="7" s="1"/>
  <c r="F388" i="7"/>
  <c r="H387" i="7"/>
  <c r="I387" i="7" s="1"/>
  <c r="F387" i="7"/>
  <c r="H386" i="7"/>
  <c r="I386" i="7" s="1"/>
  <c r="I385" i="7"/>
  <c r="H385" i="7"/>
  <c r="H384" i="7"/>
  <c r="F384" i="7"/>
  <c r="I384" i="7" s="1"/>
  <c r="I383" i="7"/>
  <c r="H383" i="7"/>
  <c r="I382" i="7"/>
  <c r="H382" i="7"/>
  <c r="H381" i="7"/>
  <c r="I381" i="7" s="1"/>
  <c r="F381" i="7"/>
  <c r="F379" i="7" s="1"/>
  <c r="H380" i="7"/>
  <c r="H379" i="7"/>
  <c r="I378" i="7"/>
  <c r="H378" i="7"/>
  <c r="I377" i="7"/>
  <c r="H377" i="7"/>
  <c r="H376" i="7"/>
  <c r="I376" i="7" s="1"/>
  <c r="F376" i="7"/>
  <c r="H375" i="7"/>
  <c r="I375" i="7" s="1"/>
  <c r="I374" i="7"/>
  <c r="H374" i="7"/>
  <c r="F374" i="7"/>
  <c r="F375" i="7" s="1"/>
  <c r="I373" i="7"/>
  <c r="H373" i="7"/>
  <c r="H372" i="7"/>
  <c r="I372" i="7" s="1"/>
  <c r="H371" i="7"/>
  <c r="I371" i="7" s="1"/>
  <c r="F371" i="7"/>
  <c r="F369" i="7" s="1"/>
  <c r="F370" i="7" s="1"/>
  <c r="H370" i="7"/>
  <c r="H369" i="7"/>
  <c r="I368" i="7"/>
  <c r="H368" i="7"/>
  <c r="H367" i="7"/>
  <c r="I367" i="7" s="1"/>
  <c r="H366" i="7"/>
  <c r="F366" i="7"/>
  <c r="F364" i="7" s="1"/>
  <c r="F365" i="7" s="1"/>
  <c r="H365" i="7"/>
  <c r="I365" i="7" s="1"/>
  <c r="H364" i="7"/>
  <c r="H363" i="7"/>
  <c r="I363" i="7" s="1"/>
  <c r="H362" i="7"/>
  <c r="I362" i="7" s="1"/>
  <c r="H361" i="7"/>
  <c r="F361" i="7"/>
  <c r="I361" i="7" s="1"/>
  <c r="H360" i="7"/>
  <c r="H359" i="7"/>
  <c r="I359" i="7" s="1"/>
  <c r="F359" i="7"/>
  <c r="F360" i="7" s="1"/>
  <c r="I360" i="7" s="1"/>
  <c r="H358" i="7"/>
  <c r="I358" i="7" s="1"/>
  <c r="H357" i="7"/>
  <c r="I357" i="7" s="1"/>
  <c r="H356" i="7"/>
  <c r="F356" i="7"/>
  <c r="I356" i="7" s="1"/>
  <c r="H355" i="7"/>
  <c r="H354" i="7"/>
  <c r="H353" i="7"/>
  <c r="I353" i="7" s="1"/>
  <c r="I352" i="7"/>
  <c r="H352" i="7"/>
  <c r="I351" i="7"/>
  <c r="H351" i="7"/>
  <c r="F351" i="7"/>
  <c r="F349" i="7" s="1"/>
  <c r="H350" i="7"/>
  <c r="H349" i="7"/>
  <c r="I348" i="7"/>
  <c r="H348" i="7"/>
  <c r="I347" i="7"/>
  <c r="H347" i="7"/>
  <c r="I346" i="7"/>
  <c r="H346" i="7"/>
  <c r="F346" i="7"/>
  <c r="H345" i="7"/>
  <c r="H344" i="7"/>
  <c r="F344" i="7"/>
  <c r="F345" i="7" s="1"/>
  <c r="I345" i="7" s="1"/>
  <c r="I343" i="7"/>
  <c r="H343" i="7"/>
  <c r="I342" i="7"/>
  <c r="H342" i="7"/>
  <c r="F342" i="7"/>
  <c r="H341" i="7"/>
  <c r="F341" i="7"/>
  <c r="F339" i="7" s="1"/>
  <c r="F340" i="7" s="1"/>
  <c r="I340" i="7" s="1"/>
  <c r="H340" i="7"/>
  <c r="H339" i="7"/>
  <c r="H338" i="7"/>
  <c r="I338" i="7" s="1"/>
  <c r="I337" i="7"/>
  <c r="H337" i="7"/>
  <c r="I336" i="7"/>
  <c r="H336" i="7"/>
  <c r="F336" i="7"/>
  <c r="H335" i="7"/>
  <c r="H334" i="7"/>
  <c r="F334" i="7"/>
  <c r="F335" i="7" s="1"/>
  <c r="I335" i="7" s="1"/>
  <c r="H333" i="7"/>
  <c r="I333" i="7" s="1"/>
  <c r="I332" i="7"/>
  <c r="H332" i="7"/>
  <c r="I331" i="7"/>
  <c r="H331" i="7"/>
  <c r="I329" i="7"/>
  <c r="H329" i="7"/>
  <c r="F329" i="7"/>
  <c r="H328" i="7"/>
  <c r="F328" i="7"/>
  <c r="I328" i="7" s="1"/>
  <c r="H327" i="7"/>
  <c r="F327" i="7"/>
  <c r="I327" i="7" s="1"/>
  <c r="H326" i="7"/>
  <c r="H325" i="7"/>
  <c r="H324" i="7"/>
  <c r="I324" i="7" s="1"/>
  <c r="I323" i="7"/>
  <c r="H323" i="7"/>
  <c r="H322" i="7"/>
  <c r="F322" i="7"/>
  <c r="I322" i="7" s="1"/>
  <c r="I321" i="7"/>
  <c r="H321" i="7"/>
  <c r="I320" i="7"/>
  <c r="H320" i="7"/>
  <c r="H319" i="7"/>
  <c r="I319" i="7" s="1"/>
  <c r="F319" i="7"/>
  <c r="I318" i="7"/>
  <c r="H318" i="7"/>
  <c r="H317" i="7"/>
  <c r="I317" i="7" s="1"/>
  <c r="H316" i="7"/>
  <c r="F316" i="7"/>
  <c r="F314" i="7" s="1"/>
  <c r="F315" i="7" s="1"/>
  <c r="H315" i="7"/>
  <c r="H314" i="7"/>
  <c r="H313" i="7"/>
  <c r="I313" i="7" s="1"/>
  <c r="H312" i="7"/>
  <c r="I312" i="7" s="1"/>
  <c r="H311" i="7"/>
  <c r="F311" i="7"/>
  <c r="I311" i="7" s="1"/>
  <c r="I310" i="7"/>
  <c r="H310" i="7"/>
  <c r="I309" i="7"/>
  <c r="H309" i="7"/>
  <c r="I308" i="7"/>
  <c r="H308" i="7"/>
  <c r="F308" i="7"/>
  <c r="I307" i="7"/>
  <c r="H307" i="7"/>
  <c r="H306" i="7"/>
  <c r="I306" i="7" s="1"/>
  <c r="F306" i="7"/>
  <c r="I305" i="7"/>
  <c r="H305" i="7"/>
  <c r="F305" i="7"/>
  <c r="H304" i="7"/>
  <c r="H303" i="7"/>
  <c r="F303" i="7"/>
  <c r="F304" i="7" s="1"/>
  <c r="I304" i="7" s="1"/>
  <c r="I302" i="7"/>
  <c r="H302" i="7"/>
  <c r="I301" i="7"/>
  <c r="H301" i="7"/>
  <c r="F301" i="7"/>
  <c r="H300" i="7"/>
  <c r="F300" i="7"/>
  <c r="I300" i="7" s="1"/>
  <c r="H299" i="7"/>
  <c r="H298" i="7"/>
  <c r="H297" i="7"/>
  <c r="I297" i="7" s="1"/>
  <c r="H296" i="7"/>
  <c r="F296" i="7"/>
  <c r="I296" i="7" s="1"/>
  <c r="H295" i="7"/>
  <c r="I295" i="7" s="1"/>
  <c r="F295" i="7"/>
  <c r="F293" i="7" s="1"/>
  <c r="F294" i="7" s="1"/>
  <c r="H294" i="7"/>
  <c r="I294" i="7" s="1"/>
  <c r="H293" i="7"/>
  <c r="I293" i="7" s="1"/>
  <c r="H292" i="7"/>
  <c r="I292" i="7" s="1"/>
  <c r="H291" i="7"/>
  <c r="I291" i="7" s="1"/>
  <c r="H290" i="7"/>
  <c r="F290" i="7"/>
  <c r="F288" i="7" s="1"/>
  <c r="F289" i="7" s="1"/>
  <c r="H289" i="7"/>
  <c r="I289" i="7" s="1"/>
  <c r="H288" i="7"/>
  <c r="I288" i="7" s="1"/>
  <c r="H287" i="7"/>
  <c r="I287" i="7" s="1"/>
  <c r="I286" i="7"/>
  <c r="H286" i="7"/>
  <c r="H285" i="7"/>
  <c r="F285" i="7"/>
  <c r="F283" i="7" s="1"/>
  <c r="F284" i="7" s="1"/>
  <c r="I284" i="7" s="1"/>
  <c r="H284" i="7"/>
  <c r="H283" i="7"/>
  <c r="I283" i="7" s="1"/>
  <c r="H282" i="7"/>
  <c r="I282" i="7" s="1"/>
  <c r="I281" i="7"/>
  <c r="H281" i="7"/>
  <c r="I280" i="7"/>
  <c r="H280" i="7"/>
  <c r="F280" i="7"/>
  <c r="H279" i="7"/>
  <c r="H278" i="7"/>
  <c r="F278" i="7"/>
  <c r="F279" i="7" s="1"/>
  <c r="I279" i="7" s="1"/>
  <c r="H277" i="7"/>
  <c r="I277" i="7" s="1"/>
  <c r="I276" i="7"/>
  <c r="H276" i="7"/>
  <c r="I275" i="7"/>
  <c r="H275" i="7"/>
  <c r="I273" i="7"/>
  <c r="H273" i="7"/>
  <c r="F273" i="7"/>
  <c r="H272" i="7"/>
  <c r="H271" i="7"/>
  <c r="F271" i="7"/>
  <c r="F272" i="7" s="1"/>
  <c r="I272" i="7" s="1"/>
  <c r="H270" i="7"/>
  <c r="H269" i="7"/>
  <c r="H268" i="7"/>
  <c r="I268" i="7" s="1"/>
  <c r="I267" i="7"/>
  <c r="H267" i="7"/>
  <c r="H266" i="7"/>
  <c r="F266" i="7"/>
  <c r="F264" i="7" s="1"/>
  <c r="F265" i="7" s="1"/>
  <c r="I265" i="7" s="1"/>
  <c r="H265" i="7"/>
  <c r="H264" i="7"/>
  <c r="H263" i="7"/>
  <c r="I263" i="7" s="1"/>
  <c r="I262" i="7"/>
  <c r="H262" i="7"/>
  <c r="I261" i="7"/>
  <c r="H261" i="7"/>
  <c r="F261" i="7"/>
  <c r="H260" i="7"/>
  <c r="H259" i="7"/>
  <c r="F259" i="7"/>
  <c r="F260" i="7" s="1"/>
  <c r="I260" i="7" s="1"/>
  <c r="H258" i="7"/>
  <c r="I258" i="7" s="1"/>
  <c r="I257" i="7"/>
  <c r="H257" i="7"/>
  <c r="H256" i="7"/>
  <c r="H255" i="7"/>
  <c r="H254" i="7"/>
  <c r="I253" i="7"/>
  <c r="H253" i="7"/>
  <c r="I252" i="7"/>
  <c r="H252" i="7"/>
  <c r="H251" i="7"/>
  <c r="I251" i="7" s="1"/>
  <c r="F251" i="7"/>
  <c r="F256" i="7" s="1"/>
  <c r="H250" i="7"/>
  <c r="H249" i="7"/>
  <c r="I248" i="7"/>
  <c r="H248" i="7"/>
  <c r="I247" i="7"/>
  <c r="H247" i="7"/>
  <c r="H246" i="7"/>
  <c r="I246" i="7" s="1"/>
  <c r="F246" i="7"/>
  <c r="H245" i="7"/>
  <c r="I245" i="7" s="1"/>
  <c r="I244" i="7"/>
  <c r="H244" i="7"/>
  <c r="F244" i="7"/>
  <c r="F245" i="7" s="1"/>
  <c r="I243" i="7"/>
  <c r="H243" i="7"/>
  <c r="H242" i="7"/>
  <c r="I242" i="7" s="1"/>
  <c r="H241" i="7"/>
  <c r="I241" i="7" s="1"/>
  <c r="F241" i="7"/>
  <c r="F239" i="7" s="1"/>
  <c r="F240" i="7" s="1"/>
  <c r="H240" i="7"/>
  <c r="H239" i="7"/>
  <c r="I238" i="7"/>
  <c r="H238" i="7"/>
  <c r="H237" i="7"/>
  <c r="I237" i="7" s="1"/>
  <c r="H236" i="7"/>
  <c r="F236" i="7"/>
  <c r="I236" i="7" s="1"/>
  <c r="H235" i="7"/>
  <c r="I235" i="7" s="1"/>
  <c r="I234" i="7"/>
  <c r="H234" i="7"/>
  <c r="I233" i="7"/>
  <c r="H233" i="7"/>
  <c r="F233" i="7"/>
  <c r="I232" i="7"/>
  <c r="H232" i="7"/>
  <c r="I231" i="7"/>
  <c r="H231" i="7"/>
  <c r="H230" i="7"/>
  <c r="I230" i="7" s="1"/>
  <c r="F230" i="7"/>
  <c r="H229" i="7"/>
  <c r="I229" i="7" s="1"/>
  <c r="H228" i="7"/>
  <c r="I228" i="7" s="1"/>
  <c r="H227" i="7"/>
  <c r="F227" i="7"/>
  <c r="I227" i="7" s="1"/>
  <c r="H226" i="7"/>
  <c r="I226" i="7" s="1"/>
  <c r="H225" i="7"/>
  <c r="F225" i="7"/>
  <c r="I225" i="7" s="1"/>
  <c r="H224" i="7"/>
  <c r="F224" i="7"/>
  <c r="I224" i="7" s="1"/>
  <c r="I223" i="7"/>
  <c r="H223" i="7"/>
  <c r="I222" i="7"/>
  <c r="H222" i="7"/>
  <c r="I221" i="7"/>
  <c r="H221" i="7"/>
  <c r="F221" i="7"/>
  <c r="H220" i="7"/>
  <c r="H219" i="7"/>
  <c r="F219" i="7"/>
  <c r="F220" i="7" s="1"/>
  <c r="I220" i="7" s="1"/>
  <c r="I218" i="7"/>
  <c r="H218" i="7"/>
  <c r="I217" i="7"/>
  <c r="H217" i="7"/>
  <c r="H216" i="7"/>
  <c r="I216" i="7" s="1"/>
  <c r="F216" i="7"/>
  <c r="H215" i="7"/>
  <c r="I214" i="7"/>
  <c r="H214" i="7"/>
  <c r="F214" i="7"/>
  <c r="F215" i="7" s="1"/>
  <c r="I215" i="7" s="1"/>
  <c r="I213" i="7"/>
  <c r="H213" i="7"/>
  <c r="I212" i="7"/>
  <c r="H212" i="7"/>
  <c r="H211" i="7"/>
  <c r="I211" i="7" s="1"/>
  <c r="F211" i="7"/>
  <c r="H210" i="7"/>
  <c r="I210" i="7" s="1"/>
  <c r="H209" i="7"/>
  <c r="I209" i="7" s="1"/>
  <c r="H208" i="7"/>
  <c r="F208" i="7"/>
  <c r="I208" i="7" s="1"/>
  <c r="H207" i="7"/>
  <c r="I207" i="7" s="1"/>
  <c r="I206" i="7"/>
  <c r="H206" i="7"/>
  <c r="I205" i="7"/>
  <c r="H205" i="7"/>
  <c r="F205" i="7"/>
  <c r="H204" i="7"/>
  <c r="H203" i="7"/>
  <c r="F203" i="7"/>
  <c r="F204" i="7" s="1"/>
  <c r="I204" i="7" s="1"/>
  <c r="I202" i="7"/>
  <c r="H202" i="7"/>
  <c r="I201" i="7"/>
  <c r="H201" i="7"/>
  <c r="H200" i="7"/>
  <c r="I200" i="7" s="1"/>
  <c r="F200" i="7"/>
  <c r="I199" i="7"/>
  <c r="H199" i="7"/>
  <c r="H198" i="7"/>
  <c r="I198" i="7" s="1"/>
  <c r="H197" i="7"/>
  <c r="F197" i="7"/>
  <c r="F195" i="7" s="1"/>
  <c r="F196" i="7" s="1"/>
  <c r="H196" i="7"/>
  <c r="I196" i="7" s="1"/>
  <c r="H195" i="7"/>
  <c r="I195" i="7" s="1"/>
  <c r="H194" i="7"/>
  <c r="I194" i="7" s="1"/>
  <c r="H193" i="7"/>
  <c r="I193" i="7" s="1"/>
  <c r="H192" i="7"/>
  <c r="F192" i="7"/>
  <c r="I192" i="7" s="1"/>
  <c r="H191" i="7"/>
  <c r="H190" i="7"/>
  <c r="I190" i="7" s="1"/>
  <c r="F190" i="7"/>
  <c r="F191" i="7" s="1"/>
  <c r="I191" i="7" s="1"/>
  <c r="H189" i="7"/>
  <c r="I189" i="7" s="1"/>
  <c r="H188" i="7"/>
  <c r="I188" i="7" s="1"/>
  <c r="H187" i="7"/>
  <c r="F187" i="7"/>
  <c r="I187" i="7" s="1"/>
  <c r="H186" i="7"/>
  <c r="H185" i="7"/>
  <c r="H184" i="7"/>
  <c r="I184" i="7" s="1"/>
  <c r="I183" i="7"/>
  <c r="H183" i="7"/>
  <c r="I182" i="7"/>
  <c r="H182" i="7"/>
  <c r="F182" i="7"/>
  <c r="H181" i="7"/>
  <c r="F181" i="7"/>
  <c r="I181" i="7" s="1"/>
  <c r="H180" i="7"/>
  <c r="F180" i="7"/>
  <c r="I180" i="7" s="1"/>
  <c r="I179" i="7"/>
  <c r="H179" i="7"/>
  <c r="I178" i="7"/>
  <c r="H178" i="7"/>
  <c r="I177" i="7"/>
  <c r="H177" i="7"/>
  <c r="F177" i="7"/>
  <c r="H176" i="7"/>
  <c r="H175" i="7"/>
  <c r="F175" i="7"/>
  <c r="F176" i="7" s="1"/>
  <c r="I176" i="7" s="1"/>
  <c r="I174" i="7"/>
  <c r="H174" i="7"/>
  <c r="I173" i="7"/>
  <c r="H173" i="7"/>
  <c r="H172" i="7"/>
  <c r="I172" i="7" s="1"/>
  <c r="F172" i="7"/>
  <c r="H171" i="7"/>
  <c r="I170" i="7"/>
  <c r="H170" i="7"/>
  <c r="F170" i="7"/>
  <c r="F171" i="7" s="1"/>
  <c r="I171" i="7" s="1"/>
  <c r="I169" i="7"/>
  <c r="H169" i="7"/>
  <c r="I168" i="7"/>
  <c r="H168" i="7"/>
  <c r="H167" i="7"/>
  <c r="I167" i="7" s="1"/>
  <c r="F167" i="7"/>
  <c r="F165" i="7" s="1"/>
  <c r="H166" i="7"/>
  <c r="H165" i="7"/>
  <c r="I164" i="7"/>
  <c r="H164" i="7"/>
  <c r="H163" i="7"/>
  <c r="I163" i="7" s="1"/>
  <c r="H162" i="7"/>
  <c r="I162" i="7" s="1"/>
  <c r="F162" i="7"/>
  <c r="F160" i="7" s="1"/>
  <c r="F161" i="7" s="1"/>
  <c r="H161" i="7"/>
  <c r="H160" i="7"/>
  <c r="I159" i="7"/>
  <c r="H159" i="7"/>
  <c r="H158" i="7"/>
  <c r="I158" i="7" s="1"/>
  <c r="H156" i="7"/>
  <c r="I156" i="7" s="1"/>
  <c r="F156" i="7"/>
  <c r="I155" i="7"/>
  <c r="H155" i="7"/>
  <c r="F155" i="7"/>
  <c r="I154" i="7"/>
  <c r="H154" i="7"/>
  <c r="H153" i="7"/>
  <c r="H152" i="7"/>
  <c r="H151" i="7"/>
  <c r="H150" i="7"/>
  <c r="F150" i="7"/>
  <c r="F151" i="7" s="1"/>
  <c r="F149" i="7"/>
  <c r="F148" i="7"/>
  <c r="H147" i="7"/>
  <c r="I147" i="7" s="1"/>
  <c r="F147" i="7"/>
  <c r="H146" i="7"/>
  <c r="I146" i="7" s="1"/>
  <c r="F146" i="7"/>
  <c r="H145" i="7"/>
  <c r="I145" i="7" s="1"/>
  <c r="H144" i="7"/>
  <c r="I144" i="7" s="1"/>
  <c r="F144" i="7"/>
  <c r="H143" i="7"/>
  <c r="I143" i="7" s="1"/>
  <c r="F143" i="7"/>
  <c r="H142" i="7"/>
  <c r="I142" i="7" s="1"/>
  <c r="H141" i="7"/>
  <c r="I141" i="7" s="1"/>
  <c r="I140" i="7"/>
  <c r="H140" i="7"/>
  <c r="I139" i="7"/>
  <c r="H139" i="7"/>
  <c r="H138" i="7"/>
  <c r="I138" i="7" s="1"/>
  <c r="H137" i="7"/>
  <c r="I137" i="7" s="1"/>
  <c r="I136" i="7"/>
  <c r="H136" i="7"/>
  <c r="I135" i="7"/>
  <c r="H135" i="7"/>
  <c r="H134" i="7"/>
  <c r="I134" i="7" s="1"/>
  <c r="H133" i="7"/>
  <c r="I133" i="7" s="1"/>
  <c r="F133" i="7"/>
  <c r="I131" i="7"/>
  <c r="H131" i="7"/>
  <c r="F131" i="7"/>
  <c r="H130" i="7"/>
  <c r="F130" i="7"/>
  <c r="I130" i="7" s="1"/>
  <c r="H129" i="7"/>
  <c r="F129" i="7"/>
  <c r="I129" i="7" s="1"/>
  <c r="H128" i="7"/>
  <c r="F128" i="7"/>
  <c r="I128" i="7" s="1"/>
  <c r="H127" i="7"/>
  <c r="I127" i="7" s="1"/>
  <c r="F127" i="7"/>
  <c r="H126" i="7"/>
  <c r="I126" i="7" s="1"/>
  <c r="F126" i="7"/>
  <c r="H125" i="7"/>
  <c r="I125" i="7" s="1"/>
  <c r="F125" i="7"/>
  <c r="I124" i="7"/>
  <c r="H124" i="7"/>
  <c r="F124" i="7"/>
  <c r="I123" i="7"/>
  <c r="H123" i="7"/>
  <c r="F123" i="7"/>
  <c r="H122" i="7"/>
  <c r="F122" i="7"/>
  <c r="I122" i="7" s="1"/>
  <c r="H121" i="7"/>
  <c r="F121" i="7"/>
  <c r="I121" i="7" s="1"/>
  <c r="H120" i="7"/>
  <c r="I120" i="7" s="1"/>
  <c r="F120" i="7"/>
  <c r="H119" i="7"/>
  <c r="I119" i="7" s="1"/>
  <c r="F119" i="7"/>
  <c r="H118" i="7"/>
  <c r="I118" i="7" s="1"/>
  <c r="F118" i="7"/>
  <c r="H117" i="7"/>
  <c r="I117" i="7" s="1"/>
  <c r="F117" i="7"/>
  <c r="I116" i="7"/>
  <c r="H116" i="7"/>
  <c r="F116" i="7"/>
  <c r="I115" i="7"/>
  <c r="H115" i="7"/>
  <c r="H114" i="7"/>
  <c r="I114" i="7" s="1"/>
  <c r="H113" i="7"/>
  <c r="I113" i="7" s="1"/>
  <c r="I112" i="7"/>
  <c r="H112" i="7"/>
  <c r="I111" i="7"/>
  <c r="H111" i="7"/>
  <c r="H110" i="7"/>
  <c r="I110" i="7" s="1"/>
  <c r="H109" i="7"/>
  <c r="I109" i="7" s="1"/>
  <c r="H108" i="7"/>
  <c r="F108" i="7"/>
  <c r="I108" i="7" s="1"/>
  <c r="H107" i="7"/>
  <c r="I107" i="7" s="1"/>
  <c r="F107" i="7"/>
  <c r="H106" i="7"/>
  <c r="I106" i="7" s="1"/>
  <c r="F106" i="7"/>
  <c r="H105" i="7"/>
  <c r="I105" i="7" s="1"/>
  <c r="F105" i="7"/>
  <c r="H104" i="7"/>
  <c r="I104" i="7" s="1"/>
  <c r="F104" i="7"/>
  <c r="I103" i="7"/>
  <c r="H103" i="7"/>
  <c r="F103" i="7"/>
  <c r="I102" i="7"/>
  <c r="H102" i="7"/>
  <c r="F102" i="7"/>
  <c r="H101" i="7"/>
  <c r="F101" i="7"/>
  <c r="I101" i="7" s="1"/>
  <c r="H100" i="7"/>
  <c r="F100" i="7"/>
  <c r="I100" i="7" s="1"/>
  <c r="I99" i="7"/>
  <c r="H99" i="7"/>
  <c r="I98" i="7"/>
  <c r="H98" i="7"/>
  <c r="I97" i="7"/>
  <c r="H97" i="7"/>
  <c r="H96" i="7"/>
  <c r="I96" i="7" s="1"/>
  <c r="H95" i="7"/>
  <c r="I95" i="7" s="1"/>
  <c r="I94" i="7"/>
  <c r="H94" i="7"/>
  <c r="I93" i="7"/>
  <c r="H93" i="7"/>
  <c r="H92" i="7"/>
  <c r="I92" i="7" s="1"/>
  <c r="I91" i="7"/>
  <c r="H91" i="7"/>
  <c r="I90" i="7"/>
  <c r="H90" i="7"/>
  <c r="I89" i="7"/>
  <c r="H89" i="7"/>
  <c r="H88" i="7"/>
  <c r="I88" i="7" s="1"/>
  <c r="H87" i="7"/>
  <c r="I87" i="7" s="1"/>
  <c r="I86" i="7"/>
  <c r="H86" i="7"/>
  <c r="I85" i="7"/>
  <c r="H85" i="7"/>
  <c r="H84" i="7"/>
  <c r="I84" i="7" s="1"/>
  <c r="H83" i="7"/>
  <c r="H82" i="7"/>
  <c r="H81" i="7"/>
  <c r="H80" i="7"/>
  <c r="I80" i="7" s="1"/>
  <c r="F80" i="7"/>
  <c r="F81" i="7" s="1"/>
  <c r="F82" i="7" s="1"/>
  <c r="F83" i="7" s="1"/>
  <c r="I83" i="7" s="1"/>
  <c r="H79" i="7"/>
  <c r="H78" i="7"/>
  <c r="H77" i="7"/>
  <c r="H76" i="7"/>
  <c r="F76" i="7"/>
  <c r="F77" i="7" s="1"/>
  <c r="H75" i="7"/>
  <c r="I75" i="7" s="1"/>
  <c r="F75" i="7"/>
  <c r="H74" i="7"/>
  <c r="I74" i="7" s="1"/>
  <c r="F74" i="7"/>
  <c r="H73" i="7"/>
  <c r="I73" i="7" s="1"/>
  <c r="F73" i="7"/>
  <c r="H72" i="7"/>
  <c r="I72" i="7" s="1"/>
  <c r="F72" i="7"/>
  <c r="H71" i="7"/>
  <c r="H70" i="7"/>
  <c r="H69" i="7"/>
  <c r="F69" i="7"/>
  <c r="F70" i="7" s="1"/>
  <c r="H68" i="7"/>
  <c r="F68" i="7"/>
  <c r="I68" i="7" s="1"/>
  <c r="H67" i="7"/>
  <c r="H66" i="7"/>
  <c r="H65" i="7"/>
  <c r="H64" i="7"/>
  <c r="I64" i="7" s="1"/>
  <c r="F64" i="7"/>
  <c r="F65" i="7" s="1"/>
  <c r="F66" i="7" s="1"/>
  <c r="F67" i="7" s="1"/>
  <c r="I67" i="7" s="1"/>
  <c r="H63" i="7"/>
  <c r="H62" i="7"/>
  <c r="H61" i="7"/>
  <c r="H60" i="7"/>
  <c r="F60" i="7"/>
  <c r="F61" i="7" s="1"/>
  <c r="H59" i="7"/>
  <c r="H58" i="7"/>
  <c r="I58" i="7" s="1"/>
  <c r="F58" i="7"/>
  <c r="F59" i="7" s="1"/>
  <c r="H57" i="7"/>
  <c r="I57" i="7" s="1"/>
  <c r="F57" i="7"/>
  <c r="H56" i="7"/>
  <c r="I56" i="7" s="1"/>
  <c r="F56" i="7"/>
  <c r="H55" i="7"/>
  <c r="H54" i="7"/>
  <c r="H53" i="7"/>
  <c r="F53" i="7"/>
  <c r="F54" i="7" s="1"/>
  <c r="I52" i="7"/>
  <c r="H52" i="7"/>
  <c r="F52" i="7"/>
  <c r="I51" i="7"/>
  <c r="H51" i="7"/>
  <c r="I50" i="7"/>
  <c r="H50" i="7"/>
  <c r="H48" i="7"/>
  <c r="F48" i="7"/>
  <c r="I48" i="7" s="1"/>
  <c r="H47" i="7"/>
  <c r="I47" i="7" s="1"/>
  <c r="F47" i="7"/>
  <c r="H46" i="7"/>
  <c r="I46" i="7" s="1"/>
  <c r="F46" i="7"/>
  <c r="H45" i="7"/>
  <c r="I45" i="7" s="1"/>
  <c r="F45" i="7"/>
  <c r="H44" i="7"/>
  <c r="I44" i="7" s="1"/>
  <c r="H43" i="7"/>
  <c r="I43" i="7" s="1"/>
  <c r="I42" i="7"/>
  <c r="H42" i="7"/>
  <c r="I41" i="7"/>
  <c r="H41" i="7"/>
  <c r="H40" i="7"/>
  <c r="I40" i="7" s="1"/>
  <c r="H39" i="7"/>
  <c r="I39" i="7" s="1"/>
  <c r="I38" i="7"/>
  <c r="H38" i="7"/>
  <c r="I37" i="7"/>
  <c r="H37" i="7"/>
  <c r="H36" i="7"/>
  <c r="I36" i="7" s="1"/>
  <c r="H35" i="7"/>
  <c r="I35" i="7" s="1"/>
  <c r="I34" i="7"/>
  <c r="H34" i="7"/>
  <c r="I33" i="7"/>
  <c r="H33" i="7"/>
  <c r="H32" i="7"/>
  <c r="I32" i="7" s="1"/>
  <c r="H31" i="7"/>
  <c r="I31" i="7" s="1"/>
  <c r="I30" i="7"/>
  <c r="H30" i="7"/>
  <c r="I29" i="7"/>
  <c r="H29" i="7"/>
  <c r="H28" i="7"/>
  <c r="I28" i="7" s="1"/>
  <c r="H27" i="7"/>
  <c r="I27" i="7" s="1"/>
  <c r="I26" i="7"/>
  <c r="H26" i="7"/>
  <c r="I25" i="7"/>
  <c r="H25" i="7"/>
  <c r="H24" i="7"/>
  <c r="I24" i="7" s="1"/>
  <c r="I22" i="7"/>
  <c r="I21" i="7" s="1"/>
  <c r="H22" i="7"/>
  <c r="D22" i="5"/>
  <c r="D21" i="5"/>
  <c r="F573" i="8"/>
  <c r="F572" i="8"/>
  <c r="F571" i="8"/>
  <c r="G570" i="8"/>
  <c r="G544" i="8"/>
  <c r="G539" i="8"/>
  <c r="G534" i="8"/>
  <c r="G529" i="8"/>
  <c r="G524" i="8"/>
  <c r="G519" i="8"/>
  <c r="G514" i="8"/>
  <c r="G509" i="8"/>
  <c r="G504" i="8"/>
  <c r="G499" i="8"/>
  <c r="G494" i="8"/>
  <c r="G489" i="8"/>
  <c r="G484" i="8"/>
  <c r="F478" i="8"/>
  <c r="F477" i="8"/>
  <c r="F476" i="8"/>
  <c r="F434" i="6"/>
  <c r="F434" i="8"/>
  <c r="F424" i="6"/>
  <c r="F424" i="8"/>
  <c r="G475" i="8"/>
  <c r="G455" i="8"/>
  <c r="G450" i="8"/>
  <c r="G445" i="8"/>
  <c r="G440" i="8"/>
  <c r="G435" i="8"/>
  <c r="G430" i="8"/>
  <c r="G425" i="8"/>
  <c r="G420" i="8"/>
  <c r="G415" i="8"/>
  <c r="G410" i="8"/>
  <c r="G403" i="8"/>
  <c r="G401" i="8"/>
  <c r="G394" i="8"/>
  <c r="G388" i="8"/>
  <c r="G380" i="8"/>
  <c r="G375" i="8"/>
  <c r="G370" i="8"/>
  <c r="G365" i="8"/>
  <c r="G360" i="8"/>
  <c r="G355" i="8"/>
  <c r="G350" i="8"/>
  <c r="G345" i="8"/>
  <c r="G342" i="8"/>
  <c r="G340" i="8"/>
  <c r="G335" i="8"/>
  <c r="G326" i="8"/>
  <c r="G329" i="8"/>
  <c r="G327" i="8" s="1"/>
  <c r="G315" i="8"/>
  <c r="G306" i="8"/>
  <c r="G304" i="8"/>
  <c r="G301" i="8"/>
  <c r="G299" i="8"/>
  <c r="G296" i="8"/>
  <c r="G294" i="8"/>
  <c r="G279" i="8"/>
  <c r="G272" i="8"/>
  <c r="G266" i="8"/>
  <c r="G260" i="8"/>
  <c r="G251" i="8"/>
  <c r="G245" i="8"/>
  <c r="G240" i="8"/>
  <c r="G225" i="8"/>
  <c r="G220" i="8"/>
  <c r="G215" i="8"/>
  <c r="G204" i="8"/>
  <c r="G196" i="8"/>
  <c r="G191" i="8"/>
  <c r="G186" i="8"/>
  <c r="G181" i="8"/>
  <c r="G176" i="8"/>
  <c r="G171" i="8"/>
  <c r="G166" i="8"/>
  <c r="G161" i="8"/>
  <c r="G156" i="8"/>
  <c r="G152" i="8"/>
  <c r="G153" i="8" s="1"/>
  <c r="G70" i="8"/>
  <c r="G71" i="8" s="1"/>
  <c r="G121" i="8"/>
  <c r="G116" i="8"/>
  <c r="G108" i="8"/>
  <c r="G82" i="8"/>
  <c r="G83" i="8" s="1"/>
  <c r="G78" i="8"/>
  <c r="G79" i="8" s="1"/>
  <c r="G74" i="8"/>
  <c r="G75" i="8" s="1"/>
  <c r="G66" i="8"/>
  <c r="G67" i="8" s="1"/>
  <c r="G62" i="8"/>
  <c r="G63" i="8" s="1"/>
  <c r="G58" i="8"/>
  <c r="G59" i="8" s="1"/>
  <c r="G52" i="8"/>
  <c r="G54" i="8" s="1"/>
  <c r="G55" i="8" s="1"/>
  <c r="F569" i="8"/>
  <c r="F570" i="8" s="1"/>
  <c r="F566" i="8"/>
  <c r="F563" i="8"/>
  <c r="F560" i="8"/>
  <c r="F557" i="8"/>
  <c r="F554" i="8"/>
  <c r="F551" i="8"/>
  <c r="F548" i="8"/>
  <c r="F545" i="8"/>
  <c r="F540" i="8"/>
  <c r="F538" i="8" s="1"/>
  <c r="F539" i="8" s="1"/>
  <c r="F535" i="8"/>
  <c r="F533" i="8" s="1"/>
  <c r="F530" i="8"/>
  <c r="F528" i="8" s="1"/>
  <c r="F529" i="8" s="1"/>
  <c r="F525" i="8"/>
  <c r="F523" i="8"/>
  <c r="F524" i="8" s="1"/>
  <c r="F520" i="8"/>
  <c r="F518" i="8" s="1"/>
  <c r="F515" i="8"/>
  <c r="F513" i="8" s="1"/>
  <c r="F510" i="8"/>
  <c r="F508" i="8" s="1"/>
  <c r="F509" i="8" s="1"/>
  <c r="F505" i="8"/>
  <c r="F503" i="8" s="1"/>
  <c r="F504" i="8" s="1"/>
  <c r="F500" i="8"/>
  <c r="F498" i="8" s="1"/>
  <c r="F499" i="8" s="1"/>
  <c r="F495" i="8"/>
  <c r="F490" i="8"/>
  <c r="F488" i="8" s="1"/>
  <c r="F489" i="8" s="1"/>
  <c r="F485" i="8"/>
  <c r="F483" i="8" s="1"/>
  <c r="F474" i="8"/>
  <c r="F475" i="8" s="1"/>
  <c r="F472" i="8"/>
  <c r="F471" i="8"/>
  <c r="F468" i="8"/>
  <c r="F465" i="8"/>
  <c r="F462" i="8"/>
  <c r="F459" i="8"/>
  <c r="F456" i="8"/>
  <c r="F451" i="8"/>
  <c r="F449" i="8" s="1"/>
  <c r="F450" i="8" s="1"/>
  <c r="F446" i="8"/>
  <c r="F444" i="8" s="1"/>
  <c r="F441" i="8"/>
  <c r="F439" i="8"/>
  <c r="F440" i="8" s="1"/>
  <c r="F436" i="8"/>
  <c r="F435" i="8"/>
  <c r="F431" i="8"/>
  <c r="F429" i="8" s="1"/>
  <c r="F426" i="8"/>
  <c r="F425" i="8"/>
  <c r="F421" i="8"/>
  <c r="F419" i="8" s="1"/>
  <c r="F420" i="8" s="1"/>
  <c r="F416" i="8"/>
  <c r="F414" i="8" s="1"/>
  <c r="F415" i="8" s="1"/>
  <c r="F411" i="8"/>
  <c r="F409" i="8" s="1"/>
  <c r="F410" i="8" s="1"/>
  <c r="F404" i="8"/>
  <c r="F402" i="8"/>
  <c r="F403" i="8" s="1"/>
  <c r="F400" i="8"/>
  <c r="F401" i="8" s="1"/>
  <c r="F395" i="8"/>
  <c r="F393" i="8" s="1"/>
  <c r="F390" i="8"/>
  <c r="F388" i="8"/>
  <c r="F387" i="8"/>
  <c r="F384" i="8"/>
  <c r="F381" i="8"/>
  <c r="F379" i="8" s="1"/>
  <c r="F380" i="8" s="1"/>
  <c r="F376" i="8"/>
  <c r="F374" i="8" s="1"/>
  <c r="F371" i="8"/>
  <c r="F369" i="8" s="1"/>
  <c r="F370" i="8" s="1"/>
  <c r="F366" i="8"/>
  <c r="F364" i="8"/>
  <c r="F365" i="8" s="1"/>
  <c r="F361" i="8"/>
  <c r="F359" i="8"/>
  <c r="F360" i="8" s="1"/>
  <c r="F356" i="8"/>
  <c r="F351" i="8"/>
  <c r="F349" i="8" s="1"/>
  <c r="F350" i="8" s="1"/>
  <c r="F346" i="8"/>
  <c r="F344" i="8" s="1"/>
  <c r="F342" i="8"/>
  <c r="F341" i="8"/>
  <c r="F339" i="8" s="1"/>
  <c r="F340" i="8" s="1"/>
  <c r="F336" i="8"/>
  <c r="F334" i="8" s="1"/>
  <c r="F335" i="8" s="1"/>
  <c r="F329" i="8"/>
  <c r="F328" i="8" s="1"/>
  <c r="F327" i="8" s="1"/>
  <c r="F322" i="8"/>
  <c r="F319" i="8"/>
  <c r="F316" i="8"/>
  <c r="F314" i="8" s="1"/>
  <c r="F315" i="8" s="1"/>
  <c r="F311" i="8"/>
  <c r="F308" i="8"/>
  <c r="F306" i="8"/>
  <c r="F305" i="8"/>
  <c r="F301" i="8"/>
  <c r="F300" i="8"/>
  <c r="F296" i="8"/>
  <c r="F295" i="8"/>
  <c r="F293" i="8" s="1"/>
  <c r="F290" i="8"/>
  <c r="F288" i="8" s="1"/>
  <c r="F289" i="8" s="1"/>
  <c r="F285" i="8"/>
  <c r="F283" i="8" s="1"/>
  <c r="F284" i="8" s="1"/>
  <c r="F280" i="8"/>
  <c r="F278" i="8" s="1"/>
  <c r="F279" i="8" s="1"/>
  <c r="F273" i="8"/>
  <c r="F271" i="8"/>
  <c r="F272" i="8" s="1"/>
  <c r="F261" i="8"/>
  <c r="F259" i="8" s="1"/>
  <c r="F260" i="8" s="1"/>
  <c r="F246" i="8"/>
  <c r="F251" i="8" s="1"/>
  <c r="F241" i="8"/>
  <c r="F239" i="8" s="1"/>
  <c r="F240" i="8" s="1"/>
  <c r="F236" i="8"/>
  <c r="F233" i="8"/>
  <c r="F230" i="8"/>
  <c r="F227" i="8"/>
  <c r="F225" i="8"/>
  <c r="F224" i="8"/>
  <c r="F221" i="8"/>
  <c r="F219" i="8" s="1"/>
  <c r="F216" i="8"/>
  <c r="F214" i="8" s="1"/>
  <c r="F215" i="8" s="1"/>
  <c r="F211" i="8"/>
  <c r="F208" i="8"/>
  <c r="F205" i="8"/>
  <c r="F200" i="8"/>
  <c r="F197" i="8"/>
  <c r="F195" i="8" s="1"/>
  <c r="F196" i="8" s="1"/>
  <c r="F192" i="8"/>
  <c r="F190" i="8" s="1"/>
  <c r="F191" i="8" s="1"/>
  <c r="F187" i="8"/>
  <c r="F182" i="8"/>
  <c r="F180" i="8" s="1"/>
  <c r="F181" i="8" s="1"/>
  <c r="F177" i="8"/>
  <c r="F175" i="8" s="1"/>
  <c r="F172" i="8"/>
  <c r="F171" i="8"/>
  <c r="F170" i="8"/>
  <c r="F167" i="8"/>
  <c r="F165" i="8" s="1"/>
  <c r="F166" i="8" s="1"/>
  <c r="F162" i="8"/>
  <c r="F160" i="8" s="1"/>
  <c r="F155" i="8"/>
  <c r="F156" i="8" s="1"/>
  <c r="F150" i="8"/>
  <c r="F151" i="8" s="1"/>
  <c r="F152" i="8" s="1"/>
  <c r="F149" i="8"/>
  <c r="F148" i="8"/>
  <c r="F147" i="8"/>
  <c r="F146" i="8"/>
  <c r="F144" i="8"/>
  <c r="F143" i="8"/>
  <c r="F133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08" i="8"/>
  <c r="F107" i="8"/>
  <c r="F106" i="8"/>
  <c r="F105" i="8"/>
  <c r="F104" i="8"/>
  <c r="F103" i="8"/>
  <c r="F102" i="8"/>
  <c r="F101" i="8"/>
  <c r="F100" i="8"/>
  <c r="F80" i="8"/>
  <c r="F81" i="8" s="1"/>
  <c r="F82" i="8" s="1"/>
  <c r="F83" i="8" s="1"/>
  <c r="F76" i="8"/>
  <c r="F77" i="8" s="1"/>
  <c r="F78" i="8" s="1"/>
  <c r="F79" i="8" s="1"/>
  <c r="F73" i="8"/>
  <c r="F74" i="8" s="1"/>
  <c r="F75" i="8" s="1"/>
  <c r="F72" i="8"/>
  <c r="F69" i="8"/>
  <c r="F70" i="8" s="1"/>
  <c r="F71" i="8" s="1"/>
  <c r="F68" i="8"/>
  <c r="F65" i="8"/>
  <c r="F66" i="8" s="1"/>
  <c r="F67" i="8" s="1"/>
  <c r="F64" i="8"/>
  <c r="F60" i="8"/>
  <c r="F61" i="8" s="1"/>
  <c r="F62" i="8" s="1"/>
  <c r="F63" i="8" s="1"/>
  <c r="F56" i="8"/>
  <c r="F57" i="8" s="1"/>
  <c r="F58" i="8" s="1"/>
  <c r="F59" i="8" s="1"/>
  <c r="F53" i="8"/>
  <c r="F54" i="8" s="1"/>
  <c r="F55" i="8" s="1"/>
  <c r="F52" i="8"/>
  <c r="F48" i="8"/>
  <c r="F47" i="8"/>
  <c r="F46" i="8"/>
  <c r="F45" i="8"/>
  <c r="F475" i="6"/>
  <c r="F474" i="6"/>
  <c r="F570" i="6"/>
  <c r="F569" i="6"/>
  <c r="I149" i="7" l="1"/>
  <c r="I148" i="7"/>
  <c r="F62" i="7"/>
  <c r="I61" i="7"/>
  <c r="I82" i="7"/>
  <c r="I269" i="7"/>
  <c r="I369" i="7"/>
  <c r="I484" i="7"/>
  <c r="I239" i="7"/>
  <c r="I339" i="7"/>
  <c r="I370" i="7"/>
  <c r="I429" i="7"/>
  <c r="I503" i="7"/>
  <c r="F166" i="7"/>
  <c r="I166" i="7" s="1"/>
  <c r="I165" i="7"/>
  <c r="I240" i="7"/>
  <c r="I430" i="7"/>
  <c r="F380" i="7"/>
  <c r="I380" i="7" s="1"/>
  <c r="I379" i="7"/>
  <c r="I256" i="7"/>
  <c r="F254" i="7"/>
  <c r="I54" i="7"/>
  <c r="F55" i="7"/>
  <c r="I55" i="7" s="1"/>
  <c r="F350" i="7"/>
  <c r="I350" i="7" s="1"/>
  <c r="I349" i="7"/>
  <c r="F450" i="7"/>
  <c r="I450" i="7" s="1"/>
  <c r="I449" i="7"/>
  <c r="I23" i="7"/>
  <c r="I65" i="7"/>
  <c r="I66" i="7"/>
  <c r="F78" i="7"/>
  <c r="I77" i="7"/>
  <c r="I314" i="7"/>
  <c r="I508" i="7"/>
  <c r="I160" i="7"/>
  <c r="I264" i="7"/>
  <c r="I315" i="7"/>
  <c r="I364" i="7"/>
  <c r="F489" i="7"/>
  <c r="I489" i="7" s="1"/>
  <c r="I488" i="7"/>
  <c r="I509" i="7"/>
  <c r="F152" i="7"/>
  <c r="I151" i="7"/>
  <c r="I161" i="7"/>
  <c r="I325" i="7"/>
  <c r="F435" i="7"/>
  <c r="I435" i="7" s="1"/>
  <c r="I434" i="7"/>
  <c r="I326" i="7"/>
  <c r="I425" i="7"/>
  <c r="I70" i="7"/>
  <c r="F71" i="7"/>
  <c r="I71" i="7" s="1"/>
  <c r="F524" i="7"/>
  <c r="I524" i="7" s="1"/>
  <c r="I523" i="7"/>
  <c r="I59" i="7"/>
  <c r="I81" i="7"/>
  <c r="I514" i="7"/>
  <c r="I60" i="7"/>
  <c r="I76" i="7"/>
  <c r="I259" i="7"/>
  <c r="I271" i="7"/>
  <c r="I278" i="7"/>
  <c r="I290" i="7"/>
  <c r="I334" i="7"/>
  <c r="I402" i="7"/>
  <c r="I409" i="7"/>
  <c r="I421" i="7"/>
  <c r="I498" i="7"/>
  <c r="I510" i="7"/>
  <c r="F185" i="7"/>
  <c r="I203" i="7"/>
  <c r="I266" i="7"/>
  <c r="I285" i="7"/>
  <c r="F298" i="7"/>
  <c r="I303" i="7"/>
  <c r="I341" i="7"/>
  <c r="F354" i="7"/>
  <c r="I416" i="7"/>
  <c r="F454" i="7"/>
  <c r="I493" i="7"/>
  <c r="I505" i="7"/>
  <c r="F543" i="7"/>
  <c r="I569" i="7"/>
  <c r="F249" i="7"/>
  <c r="I197" i="7"/>
  <c r="I316" i="7"/>
  <c r="I366" i="7"/>
  <c r="F269" i="7"/>
  <c r="F270" i="7" s="1"/>
  <c r="I270" i="7" s="1"/>
  <c r="F325" i="7"/>
  <c r="F326" i="7" s="1"/>
  <c r="I53" i="7"/>
  <c r="I69" i="7"/>
  <c r="I150" i="7"/>
  <c r="I175" i="7"/>
  <c r="I219" i="7"/>
  <c r="I344" i="7"/>
  <c r="I444" i="7"/>
  <c r="I533" i="7"/>
  <c r="G289" i="8"/>
  <c r="G284" i="8"/>
  <c r="G250" i="8"/>
  <c r="G256" i="8"/>
  <c r="G255" i="8" s="1"/>
  <c r="G265" i="8"/>
  <c r="F256" i="8"/>
  <c r="F249" i="8"/>
  <c r="F250" i="8" s="1"/>
  <c r="F345" i="8"/>
  <c r="F514" i="8"/>
  <c r="F534" i="8"/>
  <c r="F394" i="8"/>
  <c r="F153" i="8"/>
  <c r="F161" i="8"/>
  <c r="F220" i="8"/>
  <c r="F294" i="8"/>
  <c r="F484" i="8"/>
  <c r="F445" i="8"/>
  <c r="F519" i="8"/>
  <c r="F375" i="8"/>
  <c r="F176" i="8"/>
  <c r="F430" i="8"/>
  <c r="F203" i="8"/>
  <c r="F204" i="8" s="1"/>
  <c r="F266" i="8"/>
  <c r="F303" i="8"/>
  <c r="F304" i="8" s="1"/>
  <c r="F493" i="8"/>
  <c r="F494" i="8" s="1"/>
  <c r="F185" i="8"/>
  <c r="F186" i="8" s="1"/>
  <c r="F298" i="8"/>
  <c r="F299" i="8" s="1"/>
  <c r="F354" i="8"/>
  <c r="F355" i="8" s="1"/>
  <c r="F454" i="8"/>
  <c r="F455" i="8" s="1"/>
  <c r="F543" i="8"/>
  <c r="F544" i="8" s="1"/>
  <c r="F244" i="8"/>
  <c r="F325" i="8"/>
  <c r="F326" i="8" s="1"/>
  <c r="H480" i="6"/>
  <c r="I480" i="6" s="1"/>
  <c r="H406" i="6"/>
  <c r="I406" i="6" s="1"/>
  <c r="H331" i="6"/>
  <c r="I331" i="6" s="1"/>
  <c r="H275" i="6"/>
  <c r="I275" i="6" s="1"/>
  <c r="F273" i="6"/>
  <c r="F271" i="6"/>
  <c r="F272" i="6" s="1"/>
  <c r="H273" i="6"/>
  <c r="I273" i="6" s="1"/>
  <c r="H272" i="6"/>
  <c r="H271" i="6"/>
  <c r="I271" i="6" s="1"/>
  <c r="H270" i="6"/>
  <c r="H269" i="6"/>
  <c r="F261" i="6"/>
  <c r="F266" i="6" s="1"/>
  <c r="F264" i="6" s="1"/>
  <c r="F265" i="6" s="1"/>
  <c r="F259" i="6"/>
  <c r="F260" i="6" s="1"/>
  <c r="F246" i="6"/>
  <c r="F244" i="6" s="1"/>
  <c r="F245" i="6" s="1"/>
  <c r="F241" i="6"/>
  <c r="F239" i="6"/>
  <c r="F240" i="6" s="1"/>
  <c r="H268" i="6"/>
  <c r="I268" i="6" s="1"/>
  <c r="H267" i="6"/>
  <c r="I267" i="6" s="1"/>
  <c r="H266" i="6"/>
  <c r="H265" i="6"/>
  <c r="H264" i="6"/>
  <c r="H263" i="6"/>
  <c r="I263" i="6" s="1"/>
  <c r="H262" i="6"/>
  <c r="I262" i="6" s="1"/>
  <c r="H261" i="6"/>
  <c r="I261" i="6" s="1"/>
  <c r="H260" i="6"/>
  <c r="H259" i="6"/>
  <c r="I259" i="6" s="1"/>
  <c r="H258" i="6"/>
  <c r="I258" i="6" s="1"/>
  <c r="H257" i="6"/>
  <c r="I257" i="6" s="1"/>
  <c r="H256" i="6"/>
  <c r="H255" i="6"/>
  <c r="H254" i="6"/>
  <c r="H253" i="6"/>
  <c r="I253" i="6" s="1"/>
  <c r="H252" i="6"/>
  <c r="I252" i="6" s="1"/>
  <c r="H251" i="6"/>
  <c r="H250" i="6"/>
  <c r="H249" i="6"/>
  <c r="H248" i="6"/>
  <c r="I248" i="6" s="1"/>
  <c r="H247" i="6"/>
  <c r="I247" i="6" s="1"/>
  <c r="H246" i="6"/>
  <c r="H245" i="6"/>
  <c r="H244" i="6"/>
  <c r="H243" i="6"/>
  <c r="I243" i="6" s="1"/>
  <c r="H242" i="6"/>
  <c r="I242" i="6" s="1"/>
  <c r="H241" i="6"/>
  <c r="H240" i="6"/>
  <c r="H239" i="6"/>
  <c r="F236" i="6"/>
  <c r="F233" i="6"/>
  <c r="F230" i="6"/>
  <c r="H238" i="6"/>
  <c r="I238" i="6" s="1"/>
  <c r="H237" i="6"/>
  <c r="I237" i="6" s="1"/>
  <c r="I236" i="6"/>
  <c r="H236" i="6"/>
  <c r="H235" i="6"/>
  <c r="I235" i="6" s="1"/>
  <c r="H234" i="6"/>
  <c r="I234" i="6" s="1"/>
  <c r="H233" i="6"/>
  <c r="I233" i="6" s="1"/>
  <c r="H232" i="6"/>
  <c r="I232" i="6" s="1"/>
  <c r="H231" i="6"/>
  <c r="I231" i="6" s="1"/>
  <c r="H230" i="6"/>
  <c r="I230" i="6" s="1"/>
  <c r="F227" i="6"/>
  <c r="F225" i="6"/>
  <c r="F224" i="6"/>
  <c r="H229" i="6"/>
  <c r="I229" i="6" s="1"/>
  <c r="H228" i="6"/>
  <c r="I228" i="6" s="1"/>
  <c r="H227" i="6"/>
  <c r="H226" i="6"/>
  <c r="I226" i="6" s="1"/>
  <c r="H225" i="6"/>
  <c r="I225" i="6" s="1"/>
  <c r="H224" i="6"/>
  <c r="I224" i="6" s="1"/>
  <c r="F221" i="6"/>
  <c r="F219" i="6" s="1"/>
  <c r="F220" i="6" s="1"/>
  <c r="F216" i="6"/>
  <c r="F214" i="6" s="1"/>
  <c r="F215" i="6" s="1"/>
  <c r="H223" i="6"/>
  <c r="I223" i="6" s="1"/>
  <c r="H222" i="6"/>
  <c r="I222" i="6" s="1"/>
  <c r="H221" i="6"/>
  <c r="H220" i="6"/>
  <c r="H219" i="6"/>
  <c r="H218" i="6"/>
  <c r="I218" i="6" s="1"/>
  <c r="H217" i="6"/>
  <c r="I217" i="6" s="1"/>
  <c r="H216" i="6"/>
  <c r="H215" i="6"/>
  <c r="H214" i="6"/>
  <c r="F211" i="6"/>
  <c r="F208" i="6"/>
  <c r="H213" i="6"/>
  <c r="I213" i="6" s="1"/>
  <c r="H212" i="6"/>
  <c r="I212" i="6" s="1"/>
  <c r="H211" i="6"/>
  <c r="I211" i="6" s="1"/>
  <c r="H210" i="6"/>
  <c r="I210" i="6" s="1"/>
  <c r="H209" i="6"/>
  <c r="I209" i="6" s="1"/>
  <c r="H208" i="6"/>
  <c r="I208" i="6" s="1"/>
  <c r="F205" i="6"/>
  <c r="F203" i="6" s="1"/>
  <c r="F204" i="6" s="1"/>
  <c r="F200" i="6"/>
  <c r="H207" i="6"/>
  <c r="I207" i="6" s="1"/>
  <c r="H206" i="6"/>
  <c r="I206" i="6" s="1"/>
  <c r="H205" i="6"/>
  <c r="H204" i="6"/>
  <c r="H203" i="6"/>
  <c r="H202" i="6"/>
  <c r="I202" i="6" s="1"/>
  <c r="H201" i="6"/>
  <c r="I201" i="6" s="1"/>
  <c r="H200" i="6"/>
  <c r="I200" i="6" s="1"/>
  <c r="F197" i="6"/>
  <c r="F195" i="6" s="1"/>
  <c r="F196" i="6" s="1"/>
  <c r="F192" i="6"/>
  <c r="F190" i="6" s="1"/>
  <c r="F191" i="6" s="1"/>
  <c r="H199" i="6"/>
  <c r="I199" i="6" s="1"/>
  <c r="H198" i="6"/>
  <c r="I198" i="6" s="1"/>
  <c r="H197" i="6"/>
  <c r="H196" i="6"/>
  <c r="H195" i="6"/>
  <c r="H194" i="6"/>
  <c r="I194" i="6" s="1"/>
  <c r="H193" i="6"/>
  <c r="I193" i="6" s="1"/>
  <c r="H192" i="6"/>
  <c r="H191" i="6"/>
  <c r="H190" i="6"/>
  <c r="F187" i="6"/>
  <c r="F185" i="6" s="1"/>
  <c r="F186" i="6" s="1"/>
  <c r="F182" i="6"/>
  <c r="F180" i="6" s="1"/>
  <c r="F181" i="6" s="1"/>
  <c r="H189" i="6"/>
  <c r="I189" i="6" s="1"/>
  <c r="H188" i="6"/>
  <c r="I188" i="6" s="1"/>
  <c r="H187" i="6"/>
  <c r="I187" i="6" s="1"/>
  <c r="H186" i="6"/>
  <c r="H185" i="6"/>
  <c r="H184" i="6"/>
  <c r="I184" i="6" s="1"/>
  <c r="H183" i="6"/>
  <c r="I183" i="6" s="1"/>
  <c r="H182" i="6"/>
  <c r="H181" i="6"/>
  <c r="H180" i="6"/>
  <c r="F177" i="6"/>
  <c r="F175" i="6" s="1"/>
  <c r="F172" i="6"/>
  <c r="F170" i="6" s="1"/>
  <c r="F171" i="6" s="1"/>
  <c r="H179" i="6"/>
  <c r="I179" i="6" s="1"/>
  <c r="H178" i="6"/>
  <c r="I178" i="6" s="1"/>
  <c r="H177" i="6"/>
  <c r="H176" i="6"/>
  <c r="H175" i="6"/>
  <c r="H174" i="6"/>
  <c r="I174" i="6" s="1"/>
  <c r="H173" i="6"/>
  <c r="I173" i="6" s="1"/>
  <c r="H172" i="6"/>
  <c r="I172" i="6" s="1"/>
  <c r="H171" i="6"/>
  <c r="H170" i="6"/>
  <c r="F167" i="6"/>
  <c r="F165" i="6" s="1"/>
  <c r="F166" i="6" s="1"/>
  <c r="H169" i="6"/>
  <c r="I169" i="6" s="1"/>
  <c r="H168" i="6"/>
  <c r="I168" i="6" s="1"/>
  <c r="H167" i="6"/>
  <c r="H166" i="6"/>
  <c r="H165" i="6"/>
  <c r="F162" i="6"/>
  <c r="F160" i="6" s="1"/>
  <c r="I274" i="7" l="1"/>
  <c r="I132" i="7"/>
  <c r="I405" i="7"/>
  <c r="I157" i="7"/>
  <c r="F255" i="7"/>
  <c r="I255" i="7" s="1"/>
  <c r="I254" i="7"/>
  <c r="F299" i="7"/>
  <c r="I299" i="7" s="1"/>
  <c r="I298" i="7"/>
  <c r="F79" i="7"/>
  <c r="I79" i="7" s="1"/>
  <c r="I78" i="7"/>
  <c r="F186" i="7"/>
  <c r="I186" i="7" s="1"/>
  <c r="I185" i="7"/>
  <c r="F250" i="7"/>
  <c r="I250" i="7" s="1"/>
  <c r="I249" i="7"/>
  <c r="F455" i="7"/>
  <c r="I455" i="7" s="1"/>
  <c r="I454" i="7"/>
  <c r="F544" i="7"/>
  <c r="I544" i="7" s="1"/>
  <c r="I543" i="7"/>
  <c r="I479" i="7" s="1"/>
  <c r="F355" i="7"/>
  <c r="I355" i="7" s="1"/>
  <c r="I354" i="7"/>
  <c r="I330" i="7" s="1"/>
  <c r="I49" i="7"/>
  <c r="F153" i="7"/>
  <c r="I153" i="7" s="1"/>
  <c r="I152" i="7"/>
  <c r="F63" i="7"/>
  <c r="I63" i="7" s="1"/>
  <c r="I62" i="7"/>
  <c r="G270" i="8"/>
  <c r="F264" i="8"/>
  <c r="F269" i="8"/>
  <c r="F245" i="8"/>
  <c r="F254" i="8"/>
  <c r="I197" i="6"/>
  <c r="I205" i="6"/>
  <c r="I245" i="6"/>
  <c r="I167" i="6"/>
  <c r="I272" i="6"/>
  <c r="F251" i="6"/>
  <c r="I251" i="6" s="1"/>
  <c r="I216" i="6"/>
  <c r="I227" i="6"/>
  <c r="I244" i="6"/>
  <c r="I266" i="6"/>
  <c r="I265" i="6"/>
  <c r="I264" i="6"/>
  <c r="I260" i="6"/>
  <c r="I246" i="6"/>
  <c r="I241" i="6"/>
  <c r="I239" i="6"/>
  <c r="I240" i="6"/>
  <c r="I220" i="6"/>
  <c r="I221" i="6"/>
  <c r="I219" i="6"/>
  <c r="I215" i="6"/>
  <c r="I214" i="6"/>
  <c r="I166" i="6"/>
  <c r="I191" i="6"/>
  <c r="I171" i="6"/>
  <c r="I196" i="6"/>
  <c r="I203" i="6"/>
  <c r="I204" i="6"/>
  <c r="I181" i="6"/>
  <c r="I177" i="6"/>
  <c r="I182" i="6"/>
  <c r="I192" i="6"/>
  <c r="I195" i="6"/>
  <c r="I190" i="6"/>
  <c r="I186" i="6"/>
  <c r="I185" i="6"/>
  <c r="I180" i="6"/>
  <c r="F176" i="6"/>
  <c r="F161" i="6"/>
  <c r="I175" i="6"/>
  <c r="I170" i="6"/>
  <c r="I176" i="6"/>
  <c r="I165" i="6"/>
  <c r="I20" i="7" l="1"/>
  <c r="I574" i="7" s="1"/>
  <c r="F255" i="8"/>
  <c r="F270" i="8"/>
  <c r="F265" i="8"/>
  <c r="F249" i="6"/>
  <c r="F256" i="6"/>
  <c r="F269" i="6" s="1"/>
  <c r="F270" i="6" l="1"/>
  <c r="I270" i="6" s="1"/>
  <c r="I269" i="6"/>
  <c r="F250" i="6"/>
  <c r="I250" i="6" s="1"/>
  <c r="I249" i="6"/>
  <c r="F254" i="6"/>
  <c r="I256" i="6"/>
  <c r="F255" i="6" l="1"/>
  <c r="I255" i="6" s="1"/>
  <c r="I254" i="6"/>
  <c r="F155" i="6" l="1"/>
  <c r="F156" i="6" s="1"/>
  <c r="H156" i="6"/>
  <c r="F144" i="6"/>
  <c r="H144" i="6"/>
  <c r="H141" i="6"/>
  <c r="I141" i="6" s="1"/>
  <c r="H140" i="6"/>
  <c r="I140" i="6" s="1"/>
  <c r="H139" i="6"/>
  <c r="I139" i="6" s="1"/>
  <c r="H138" i="6"/>
  <c r="I138" i="6" s="1"/>
  <c r="H155" i="6"/>
  <c r="H154" i="6"/>
  <c r="I154" i="6" s="1"/>
  <c r="H153" i="6"/>
  <c r="H152" i="6"/>
  <c r="H151" i="6"/>
  <c r="H150" i="6"/>
  <c r="F150" i="6"/>
  <c r="F151" i="6" s="1"/>
  <c r="F152" i="6" s="1"/>
  <c r="H149" i="6"/>
  <c r="H148" i="6"/>
  <c r="F147" i="6"/>
  <c r="F146" i="6"/>
  <c r="H147" i="6"/>
  <c r="I147" i="6" s="1"/>
  <c r="H146" i="6"/>
  <c r="I146" i="6" s="1"/>
  <c r="F143" i="6"/>
  <c r="H143" i="6"/>
  <c r="H145" i="6"/>
  <c r="I145" i="6" s="1"/>
  <c r="H44" i="6"/>
  <c r="I44" i="6" s="1"/>
  <c r="H43" i="6"/>
  <c r="I43" i="6" s="1"/>
  <c r="H142" i="6"/>
  <c r="I142" i="6" s="1"/>
  <c r="H137" i="6"/>
  <c r="I137" i="6" s="1"/>
  <c r="H136" i="6"/>
  <c r="I136" i="6" s="1"/>
  <c r="H135" i="6"/>
  <c r="I135" i="6" s="1"/>
  <c r="H134" i="6"/>
  <c r="I134" i="6" s="1"/>
  <c r="H133" i="6"/>
  <c r="F133" i="6"/>
  <c r="H22" i="6"/>
  <c r="I22" i="6" s="1"/>
  <c r="I21" i="6" s="1"/>
  <c r="F48" i="6"/>
  <c r="H48" i="6"/>
  <c r="H482" i="6"/>
  <c r="I482" i="6" s="1"/>
  <c r="H481" i="6"/>
  <c r="I481" i="6" s="1"/>
  <c r="H408" i="6"/>
  <c r="I408" i="6" s="1"/>
  <c r="H407" i="6"/>
  <c r="I407" i="6" s="1"/>
  <c r="H333" i="6"/>
  <c r="I333" i="6" s="1"/>
  <c r="H332" i="6"/>
  <c r="I332" i="6" s="1"/>
  <c r="H159" i="6"/>
  <c r="I159" i="6" s="1"/>
  <c r="H158" i="6"/>
  <c r="I158" i="6" s="1"/>
  <c r="H277" i="6"/>
  <c r="I277" i="6" s="1"/>
  <c r="H276" i="6"/>
  <c r="I276" i="6" s="1"/>
  <c r="H51" i="6"/>
  <c r="I51" i="6" s="1"/>
  <c r="H50" i="6"/>
  <c r="I50" i="6" s="1"/>
  <c r="H42" i="6"/>
  <c r="I42" i="6" s="1"/>
  <c r="H41" i="6"/>
  <c r="I41" i="6" s="1"/>
  <c r="H38" i="6"/>
  <c r="I38" i="6" s="1"/>
  <c r="H37" i="6"/>
  <c r="I37" i="6" s="1"/>
  <c r="H40" i="6"/>
  <c r="I40" i="6" s="1"/>
  <c r="H39" i="6"/>
  <c r="I39" i="6" s="1"/>
  <c r="H573" i="6"/>
  <c r="I573" i="6" s="1"/>
  <c r="H572" i="6"/>
  <c r="I572" i="6" s="1"/>
  <c r="H571" i="6"/>
  <c r="I571" i="6" s="1"/>
  <c r="H570" i="6"/>
  <c r="I570" i="6" s="1"/>
  <c r="H569" i="6"/>
  <c r="I569" i="6" s="1"/>
  <c r="F566" i="6"/>
  <c r="H568" i="6"/>
  <c r="I568" i="6" s="1"/>
  <c r="H567" i="6"/>
  <c r="I567" i="6" s="1"/>
  <c r="H566" i="6"/>
  <c r="F563" i="6"/>
  <c r="H565" i="6"/>
  <c r="I565" i="6" s="1"/>
  <c r="H564" i="6"/>
  <c r="I564" i="6" s="1"/>
  <c r="H563" i="6"/>
  <c r="I563" i="6" s="1"/>
  <c r="F560" i="6"/>
  <c r="H562" i="6"/>
  <c r="I562" i="6" s="1"/>
  <c r="H561" i="6"/>
  <c r="I561" i="6" s="1"/>
  <c r="H560" i="6"/>
  <c r="I560" i="6" s="1"/>
  <c r="H559" i="6"/>
  <c r="I559" i="6" s="1"/>
  <c r="H558" i="6"/>
  <c r="I558" i="6" s="1"/>
  <c r="H557" i="6"/>
  <c r="F557" i="6"/>
  <c r="F554" i="6"/>
  <c r="H556" i="6"/>
  <c r="I556" i="6" s="1"/>
  <c r="H555" i="6"/>
  <c r="I555" i="6" s="1"/>
  <c r="H554" i="6"/>
  <c r="F551" i="6"/>
  <c r="F548" i="6"/>
  <c r="H553" i="6"/>
  <c r="I553" i="6" s="1"/>
  <c r="H552" i="6"/>
  <c r="I552" i="6" s="1"/>
  <c r="H551" i="6"/>
  <c r="H550" i="6"/>
  <c r="I550" i="6" s="1"/>
  <c r="H549" i="6"/>
  <c r="I549" i="6" s="1"/>
  <c r="H548" i="6"/>
  <c r="F545" i="6"/>
  <c r="F543" i="6" s="1"/>
  <c r="F544" i="6" s="1"/>
  <c r="H547" i="6"/>
  <c r="I547" i="6" s="1"/>
  <c r="H546" i="6"/>
  <c r="I546" i="6" s="1"/>
  <c r="H545" i="6"/>
  <c r="H544" i="6"/>
  <c r="H543" i="6"/>
  <c r="F540" i="6"/>
  <c r="F538" i="6" s="1"/>
  <c r="F539" i="6" s="1"/>
  <c r="H542" i="6"/>
  <c r="I542" i="6" s="1"/>
  <c r="H541" i="6"/>
  <c r="I541" i="6" s="1"/>
  <c r="H540" i="6"/>
  <c r="H539" i="6"/>
  <c r="H538" i="6"/>
  <c r="F525" i="6"/>
  <c r="F530" i="6"/>
  <c r="F528" i="6" s="1"/>
  <c r="F529" i="6" s="1"/>
  <c r="F535" i="6"/>
  <c r="F533" i="6" s="1"/>
  <c r="F534" i="6" s="1"/>
  <c r="H537" i="6"/>
  <c r="I537" i="6" s="1"/>
  <c r="H536" i="6"/>
  <c r="I536" i="6" s="1"/>
  <c r="H535" i="6"/>
  <c r="I535" i="6" s="1"/>
  <c r="H534" i="6"/>
  <c r="H533" i="6"/>
  <c r="H532" i="6"/>
  <c r="I532" i="6" s="1"/>
  <c r="H531" i="6"/>
  <c r="I531" i="6" s="1"/>
  <c r="H530" i="6"/>
  <c r="H529" i="6"/>
  <c r="H528" i="6"/>
  <c r="F523" i="6"/>
  <c r="F524" i="6" s="1"/>
  <c r="H527" i="6"/>
  <c r="I527" i="6" s="1"/>
  <c r="H526" i="6"/>
  <c r="I526" i="6" s="1"/>
  <c r="H525" i="6"/>
  <c r="I525" i="6" s="1"/>
  <c r="H524" i="6"/>
  <c r="H523" i="6"/>
  <c r="F520" i="6"/>
  <c r="H522" i="6"/>
  <c r="I522" i="6" s="1"/>
  <c r="H521" i="6"/>
  <c r="I521" i="6" s="1"/>
  <c r="H520" i="6"/>
  <c r="H519" i="6"/>
  <c r="H518" i="6"/>
  <c r="F518" i="6"/>
  <c r="F519" i="6" s="1"/>
  <c r="H517" i="6"/>
  <c r="I517" i="6" s="1"/>
  <c r="H516" i="6"/>
  <c r="I516" i="6" s="1"/>
  <c r="H515" i="6"/>
  <c r="F515" i="6"/>
  <c r="F513" i="6" s="1"/>
  <c r="F514" i="6" s="1"/>
  <c r="H514" i="6"/>
  <c r="H513" i="6"/>
  <c r="F510" i="6"/>
  <c r="F508" i="6" s="1"/>
  <c r="F509" i="6" s="1"/>
  <c r="H512" i="6"/>
  <c r="I512" i="6" s="1"/>
  <c r="H511" i="6"/>
  <c r="I511" i="6" s="1"/>
  <c r="H510" i="6"/>
  <c r="I510" i="6" s="1"/>
  <c r="H509" i="6"/>
  <c r="H508" i="6"/>
  <c r="F505" i="6"/>
  <c r="F503" i="6" s="1"/>
  <c r="F504" i="6" s="1"/>
  <c r="H507" i="6"/>
  <c r="I507" i="6" s="1"/>
  <c r="H506" i="6"/>
  <c r="I506" i="6" s="1"/>
  <c r="H505" i="6"/>
  <c r="I505" i="6" s="1"/>
  <c r="H504" i="6"/>
  <c r="H503" i="6"/>
  <c r="F500" i="6"/>
  <c r="F498" i="6" s="1"/>
  <c r="F499" i="6" s="1"/>
  <c r="H502" i="6"/>
  <c r="I502" i="6" s="1"/>
  <c r="H501" i="6"/>
  <c r="I501" i="6" s="1"/>
  <c r="H500" i="6"/>
  <c r="I500" i="6" s="1"/>
  <c r="H499" i="6"/>
  <c r="H498" i="6"/>
  <c r="F495" i="6"/>
  <c r="H497" i="6"/>
  <c r="I497" i="6" s="1"/>
  <c r="H496" i="6"/>
  <c r="I496" i="6" s="1"/>
  <c r="H495" i="6"/>
  <c r="H494" i="6"/>
  <c r="H493" i="6"/>
  <c r="F493" i="6"/>
  <c r="F494" i="6" s="1"/>
  <c r="F490" i="6"/>
  <c r="F488" i="6" s="1"/>
  <c r="F489" i="6" s="1"/>
  <c r="I489" i="6" s="1"/>
  <c r="H492" i="6"/>
  <c r="I492" i="6" s="1"/>
  <c r="H491" i="6"/>
  <c r="I491" i="6" s="1"/>
  <c r="H490" i="6"/>
  <c r="H489" i="6"/>
  <c r="H488" i="6"/>
  <c r="F485" i="6"/>
  <c r="F483" i="6" s="1"/>
  <c r="F484" i="6" s="1"/>
  <c r="H478" i="6"/>
  <c r="I478" i="6" s="1"/>
  <c r="H477" i="6"/>
  <c r="H476" i="6"/>
  <c r="I476" i="6" s="1"/>
  <c r="I477" i="6"/>
  <c r="H475" i="6"/>
  <c r="I475" i="6" s="1"/>
  <c r="H474" i="6"/>
  <c r="F472" i="6"/>
  <c r="F471" i="6"/>
  <c r="H473" i="6"/>
  <c r="I473" i="6" s="1"/>
  <c r="H472" i="6"/>
  <c r="H471" i="6"/>
  <c r="F465" i="6"/>
  <c r="F462" i="6"/>
  <c r="F459" i="6"/>
  <c r="H470" i="6"/>
  <c r="I470" i="6" s="1"/>
  <c r="H469" i="6"/>
  <c r="I469" i="6" s="1"/>
  <c r="H468" i="6"/>
  <c r="F468" i="6"/>
  <c r="H467" i="6"/>
  <c r="I467" i="6" s="1"/>
  <c r="H466" i="6"/>
  <c r="I466" i="6" s="1"/>
  <c r="H465" i="6"/>
  <c r="H464" i="6"/>
  <c r="I464" i="6" s="1"/>
  <c r="H463" i="6"/>
  <c r="I463" i="6" s="1"/>
  <c r="H462" i="6"/>
  <c r="I462" i="6" s="1"/>
  <c r="H461" i="6"/>
  <c r="I461" i="6" s="1"/>
  <c r="H460" i="6"/>
  <c r="I460" i="6" s="1"/>
  <c r="H459" i="6"/>
  <c r="F456" i="6"/>
  <c r="F454" i="6" s="1"/>
  <c r="F455" i="6" s="1"/>
  <c r="H458" i="6"/>
  <c r="I458" i="6" s="1"/>
  <c r="H457" i="6"/>
  <c r="I457" i="6" s="1"/>
  <c r="H456" i="6"/>
  <c r="H455" i="6"/>
  <c r="H454" i="6"/>
  <c r="F451" i="6"/>
  <c r="F449" i="6" s="1"/>
  <c r="F450" i="6" s="1"/>
  <c r="H453" i="6"/>
  <c r="I453" i="6" s="1"/>
  <c r="H452" i="6"/>
  <c r="I452" i="6" s="1"/>
  <c r="H451" i="6"/>
  <c r="H450" i="6"/>
  <c r="H449" i="6"/>
  <c r="F446" i="6"/>
  <c r="F444" i="6" s="1"/>
  <c r="F445" i="6" s="1"/>
  <c r="H448" i="6"/>
  <c r="I448" i="6" s="1"/>
  <c r="H447" i="6"/>
  <c r="I447" i="6" s="1"/>
  <c r="H446" i="6"/>
  <c r="H445" i="6"/>
  <c r="H444" i="6"/>
  <c r="H443" i="6"/>
  <c r="I443" i="6" s="1"/>
  <c r="H442" i="6"/>
  <c r="I442" i="6" s="1"/>
  <c r="H441" i="6"/>
  <c r="F441" i="6"/>
  <c r="H440" i="6"/>
  <c r="H439" i="6"/>
  <c r="F439" i="6"/>
  <c r="F440" i="6" s="1"/>
  <c r="I440" i="6" s="1"/>
  <c r="F431" i="6"/>
  <c r="F429" i="6"/>
  <c r="F430" i="6" s="1"/>
  <c r="H438" i="6"/>
  <c r="I438" i="6" s="1"/>
  <c r="H437" i="6"/>
  <c r="I437" i="6" s="1"/>
  <c r="H436" i="6"/>
  <c r="F436" i="6"/>
  <c r="H435" i="6"/>
  <c r="H434" i="6"/>
  <c r="I434" i="6" s="1"/>
  <c r="F435" i="6"/>
  <c r="I435" i="6" s="1"/>
  <c r="H433" i="6"/>
  <c r="I433" i="6" s="1"/>
  <c r="H432" i="6"/>
  <c r="I432" i="6" s="1"/>
  <c r="H431" i="6"/>
  <c r="I431" i="6" s="1"/>
  <c r="H430" i="6"/>
  <c r="H429" i="6"/>
  <c r="I429" i="6" s="1"/>
  <c r="F426" i="6"/>
  <c r="F425" i="6"/>
  <c r="H428" i="6"/>
  <c r="I428" i="6" s="1"/>
  <c r="H427" i="6"/>
  <c r="I427" i="6" s="1"/>
  <c r="H426" i="6"/>
  <c r="H425" i="6"/>
  <c r="H424" i="6"/>
  <c r="F421" i="6"/>
  <c r="F419" i="6" s="1"/>
  <c r="F420" i="6" s="1"/>
  <c r="H423" i="6"/>
  <c r="I423" i="6" s="1"/>
  <c r="H422" i="6"/>
  <c r="I422" i="6" s="1"/>
  <c r="H421" i="6"/>
  <c r="I421" i="6" s="1"/>
  <c r="H420" i="6"/>
  <c r="H419" i="6"/>
  <c r="F416" i="6"/>
  <c r="F414" i="6"/>
  <c r="F415" i="6" s="1"/>
  <c r="H418" i="6"/>
  <c r="I418" i="6" s="1"/>
  <c r="H417" i="6"/>
  <c r="I417" i="6" s="1"/>
  <c r="H416" i="6"/>
  <c r="I416" i="6" s="1"/>
  <c r="H415" i="6"/>
  <c r="H414" i="6"/>
  <c r="F411" i="6"/>
  <c r="F409" i="6" s="1"/>
  <c r="F410" i="6" s="1"/>
  <c r="F381" i="6"/>
  <c r="F379" i="6" s="1"/>
  <c r="F380" i="6" s="1"/>
  <c r="H383" i="6"/>
  <c r="I383" i="6" s="1"/>
  <c r="H382" i="6"/>
  <c r="I382" i="6" s="1"/>
  <c r="H381" i="6"/>
  <c r="I381" i="6" s="1"/>
  <c r="H380" i="6"/>
  <c r="H379" i="6"/>
  <c r="F404" i="6"/>
  <c r="F402" i="6"/>
  <c r="F403" i="6" s="1"/>
  <c r="F400" i="6"/>
  <c r="F401" i="6" s="1"/>
  <c r="H399" i="6"/>
  <c r="I399" i="6" s="1"/>
  <c r="H398" i="6"/>
  <c r="I398" i="6" s="1"/>
  <c r="H404" i="6"/>
  <c r="H403" i="6"/>
  <c r="H402" i="6"/>
  <c r="H401" i="6"/>
  <c r="H400" i="6"/>
  <c r="F395" i="6"/>
  <c r="F393" i="6" s="1"/>
  <c r="F394" i="6" s="1"/>
  <c r="H397" i="6"/>
  <c r="I397" i="6" s="1"/>
  <c r="H396" i="6"/>
  <c r="I396" i="6" s="1"/>
  <c r="H395" i="6"/>
  <c r="I395" i="6" s="1"/>
  <c r="H394" i="6"/>
  <c r="H393" i="6"/>
  <c r="F390" i="6"/>
  <c r="H392" i="6"/>
  <c r="I392" i="6" s="1"/>
  <c r="H391" i="6"/>
  <c r="I391" i="6" s="1"/>
  <c r="H390" i="6"/>
  <c r="I390" i="6" s="1"/>
  <c r="F388" i="6"/>
  <c r="F387" i="6"/>
  <c r="F384" i="6"/>
  <c r="H389" i="6"/>
  <c r="I389" i="6" s="1"/>
  <c r="H388" i="6"/>
  <c r="I388" i="6" s="1"/>
  <c r="H387" i="6"/>
  <c r="H386" i="6"/>
  <c r="I386" i="6" s="1"/>
  <c r="H385" i="6"/>
  <c r="I385" i="6" s="1"/>
  <c r="H384" i="6"/>
  <c r="F376" i="6"/>
  <c r="F374" i="6" s="1"/>
  <c r="F375" i="6" s="1"/>
  <c r="H378" i="6"/>
  <c r="I378" i="6" s="1"/>
  <c r="H377" i="6"/>
  <c r="I377" i="6" s="1"/>
  <c r="H376" i="6"/>
  <c r="H375" i="6"/>
  <c r="H374" i="6"/>
  <c r="F371" i="6"/>
  <c r="F369" i="6" s="1"/>
  <c r="F370" i="6" s="1"/>
  <c r="H373" i="6"/>
  <c r="I373" i="6" s="1"/>
  <c r="H372" i="6"/>
  <c r="I372" i="6" s="1"/>
  <c r="H371" i="6"/>
  <c r="H370" i="6"/>
  <c r="H369" i="6"/>
  <c r="F366" i="6"/>
  <c r="F364" i="6" s="1"/>
  <c r="F365" i="6" s="1"/>
  <c r="H368" i="6"/>
  <c r="I368" i="6" s="1"/>
  <c r="H367" i="6"/>
  <c r="I367" i="6" s="1"/>
  <c r="H366" i="6"/>
  <c r="H365" i="6"/>
  <c r="H364" i="6"/>
  <c r="F361" i="6"/>
  <c r="F359" i="6" s="1"/>
  <c r="F360" i="6" s="1"/>
  <c r="H363" i="6"/>
  <c r="I363" i="6" s="1"/>
  <c r="H362" i="6"/>
  <c r="I362" i="6" s="1"/>
  <c r="H361" i="6"/>
  <c r="H360" i="6"/>
  <c r="H359" i="6"/>
  <c r="F356" i="6"/>
  <c r="F354" i="6" s="1"/>
  <c r="F355" i="6" s="1"/>
  <c r="H358" i="6"/>
  <c r="I358" i="6" s="1"/>
  <c r="H357" i="6"/>
  <c r="I357" i="6" s="1"/>
  <c r="H356" i="6"/>
  <c r="H355" i="6"/>
  <c r="H354" i="6"/>
  <c r="F351" i="6"/>
  <c r="F349" i="6" s="1"/>
  <c r="F350" i="6" s="1"/>
  <c r="H353" i="6"/>
  <c r="I353" i="6" s="1"/>
  <c r="H352" i="6"/>
  <c r="I352" i="6" s="1"/>
  <c r="H351" i="6"/>
  <c r="H350" i="6"/>
  <c r="H349" i="6"/>
  <c r="F346" i="6"/>
  <c r="F344" i="6" s="1"/>
  <c r="F345" i="6" s="1"/>
  <c r="H348" i="6"/>
  <c r="I348" i="6" s="1"/>
  <c r="H347" i="6"/>
  <c r="I347" i="6" s="1"/>
  <c r="H346" i="6"/>
  <c r="H345" i="6"/>
  <c r="H344" i="6"/>
  <c r="F342" i="6"/>
  <c r="F341" i="6"/>
  <c r="F339" i="6" s="1"/>
  <c r="F340" i="6" s="1"/>
  <c r="H343" i="6"/>
  <c r="I343" i="6" s="1"/>
  <c r="H342" i="6"/>
  <c r="H341" i="6"/>
  <c r="H340" i="6"/>
  <c r="H339" i="6"/>
  <c r="F336" i="6"/>
  <c r="F334" i="6" s="1"/>
  <c r="F335" i="6" s="1"/>
  <c r="F329" i="6"/>
  <c r="F328" i="6" s="1"/>
  <c r="F327" i="6" s="1"/>
  <c r="H329" i="6"/>
  <c r="H328" i="6"/>
  <c r="H327" i="6"/>
  <c r="H326" i="6"/>
  <c r="H325" i="6"/>
  <c r="I519" i="6" l="1"/>
  <c r="I551" i="6"/>
  <c r="I384" i="6"/>
  <c r="I387" i="6"/>
  <c r="I426" i="6"/>
  <c r="I540" i="6"/>
  <c r="I530" i="6"/>
  <c r="I48" i="6"/>
  <c r="I133" i="6"/>
  <c r="I143" i="6"/>
  <c r="I144" i="6"/>
  <c r="I149" i="6"/>
  <c r="I376" i="6"/>
  <c r="I490" i="6"/>
  <c r="I520" i="6"/>
  <c r="I148" i="6"/>
  <c r="I155" i="6"/>
  <c r="I156" i="6"/>
  <c r="F153" i="6"/>
  <c r="I153" i="6" s="1"/>
  <c r="I152" i="6"/>
  <c r="I151" i="6"/>
  <c r="I150" i="6"/>
  <c r="I329" i="6"/>
  <c r="I533" i="6"/>
  <c r="I341" i="6"/>
  <c r="I465" i="6"/>
  <c r="I471" i="6"/>
  <c r="I495" i="6"/>
  <c r="I503" i="6"/>
  <c r="I513" i="6"/>
  <c r="I534" i="6"/>
  <c r="I545" i="6"/>
  <c r="I557" i="6"/>
  <c r="I566" i="6"/>
  <c r="I554" i="6"/>
  <c r="I439" i="6"/>
  <c r="I446" i="6"/>
  <c r="I342" i="6"/>
  <c r="I346" i="6"/>
  <c r="I351" i="6"/>
  <c r="I356" i="6"/>
  <c r="I504" i="6"/>
  <c r="I515" i="6"/>
  <c r="I548" i="6"/>
  <c r="I544" i="6"/>
  <c r="I543" i="6"/>
  <c r="I539" i="6"/>
  <c r="I538" i="6"/>
  <c r="I529" i="6"/>
  <c r="I528" i="6"/>
  <c r="I524" i="6"/>
  <c r="I523" i="6"/>
  <c r="I518" i="6"/>
  <c r="I514" i="6"/>
  <c r="I509" i="6"/>
  <c r="I508" i="6"/>
  <c r="I499" i="6"/>
  <c r="I498" i="6"/>
  <c r="I494" i="6"/>
  <c r="I493" i="6"/>
  <c r="I488" i="6"/>
  <c r="I366" i="6"/>
  <c r="I371" i="6"/>
  <c r="I445" i="6"/>
  <c r="I455" i="6"/>
  <c r="I340" i="6"/>
  <c r="I360" i="6"/>
  <c r="I430" i="6"/>
  <c r="I441" i="6"/>
  <c r="I370" i="6"/>
  <c r="I380" i="6"/>
  <c r="I436" i="6"/>
  <c r="I444" i="6"/>
  <c r="I454" i="6"/>
  <c r="I468" i="6"/>
  <c r="I474" i="6"/>
  <c r="I472" i="6"/>
  <c r="I459" i="6"/>
  <c r="I456" i="6"/>
  <c r="I451" i="6"/>
  <c r="I449" i="6"/>
  <c r="I450" i="6"/>
  <c r="I425" i="6"/>
  <c r="I424" i="6"/>
  <c r="I419" i="6"/>
  <c r="I420" i="6"/>
  <c r="I414" i="6"/>
  <c r="I415" i="6"/>
  <c r="I379" i="6"/>
  <c r="I394" i="6"/>
  <c r="I402" i="6"/>
  <c r="I339" i="6"/>
  <c r="I355" i="6"/>
  <c r="I359" i="6"/>
  <c r="I375" i="6"/>
  <c r="I401" i="6"/>
  <c r="I403" i="6"/>
  <c r="I400" i="6"/>
  <c r="I404" i="6"/>
  <c r="I393" i="6"/>
  <c r="I374" i="6"/>
  <c r="I369" i="6"/>
  <c r="I364" i="6"/>
  <c r="I365" i="6"/>
  <c r="I361" i="6"/>
  <c r="I354" i="6"/>
  <c r="I350" i="6"/>
  <c r="I349" i="6"/>
  <c r="I345" i="6"/>
  <c r="I344" i="6"/>
  <c r="I327" i="6"/>
  <c r="I328" i="6"/>
  <c r="F319" i="6"/>
  <c r="F322" i="6"/>
  <c r="H324" i="6"/>
  <c r="I324" i="6" s="1"/>
  <c r="H323" i="6"/>
  <c r="I323" i="6" s="1"/>
  <c r="H322" i="6"/>
  <c r="H321" i="6"/>
  <c r="I321" i="6" s="1"/>
  <c r="H320" i="6"/>
  <c r="I320" i="6" s="1"/>
  <c r="H319" i="6"/>
  <c r="F316" i="6"/>
  <c r="F314" i="6" s="1"/>
  <c r="F315" i="6" s="1"/>
  <c r="H318" i="6"/>
  <c r="I318" i="6" s="1"/>
  <c r="H317" i="6"/>
  <c r="I317" i="6" s="1"/>
  <c r="H316" i="6"/>
  <c r="H315" i="6"/>
  <c r="H314" i="6"/>
  <c r="F311" i="6"/>
  <c r="H313" i="6"/>
  <c r="I313" i="6" s="1"/>
  <c r="H312" i="6"/>
  <c r="I312" i="6" s="1"/>
  <c r="H311" i="6"/>
  <c r="F308" i="6"/>
  <c r="H310" i="6"/>
  <c r="I310" i="6" s="1"/>
  <c r="H309" i="6"/>
  <c r="I309" i="6" s="1"/>
  <c r="H308" i="6"/>
  <c r="F306" i="6"/>
  <c r="F305" i="6"/>
  <c r="F303" i="6" s="1"/>
  <c r="F304" i="6" s="1"/>
  <c r="H307" i="6"/>
  <c r="I307" i="6" s="1"/>
  <c r="H306" i="6"/>
  <c r="H305" i="6"/>
  <c r="H304" i="6"/>
  <c r="H303" i="6"/>
  <c r="F301" i="6"/>
  <c r="F300" i="6"/>
  <c r="F298" i="6" s="1"/>
  <c r="F299" i="6" s="1"/>
  <c r="H302" i="6"/>
  <c r="I302" i="6" s="1"/>
  <c r="H301" i="6"/>
  <c r="H300" i="6"/>
  <c r="H299" i="6"/>
  <c r="H298" i="6"/>
  <c r="F296" i="6"/>
  <c r="F295" i="6"/>
  <c r="F293" i="6" s="1"/>
  <c r="F294" i="6" s="1"/>
  <c r="H297" i="6"/>
  <c r="I297" i="6" s="1"/>
  <c r="H296" i="6"/>
  <c r="H295" i="6"/>
  <c r="H294" i="6"/>
  <c r="H293" i="6"/>
  <c r="F290" i="6"/>
  <c r="F288" i="6" s="1"/>
  <c r="F289" i="6" s="1"/>
  <c r="I289" i="6" s="1"/>
  <c r="H292" i="6"/>
  <c r="I292" i="6" s="1"/>
  <c r="H291" i="6"/>
  <c r="I291" i="6" s="1"/>
  <c r="H290" i="6"/>
  <c r="H289" i="6"/>
  <c r="H288" i="6"/>
  <c r="F285" i="6"/>
  <c r="F283" i="6" s="1"/>
  <c r="F284" i="6" s="1"/>
  <c r="H287" i="6"/>
  <c r="I287" i="6" s="1"/>
  <c r="H286" i="6"/>
  <c r="I286" i="6" s="1"/>
  <c r="H285" i="6"/>
  <c r="H284" i="6"/>
  <c r="H283" i="6"/>
  <c r="F280" i="6"/>
  <c r="I132" i="6" l="1"/>
  <c r="I316" i="6"/>
  <c r="F278" i="6"/>
  <c r="F279" i="6" s="1"/>
  <c r="F325" i="6"/>
  <c r="I305" i="6"/>
  <c r="I295" i="6"/>
  <c r="I301" i="6"/>
  <c r="I306" i="6"/>
  <c r="I311" i="6"/>
  <c r="I322" i="6"/>
  <c r="I296" i="6"/>
  <c r="I300" i="6"/>
  <c r="I284" i="6"/>
  <c r="I319" i="6"/>
  <c r="I315" i="6"/>
  <c r="I314" i="6"/>
  <c r="I294" i="6"/>
  <c r="I308" i="6"/>
  <c r="I304" i="6"/>
  <c r="I303" i="6"/>
  <c r="I299" i="6"/>
  <c r="I298" i="6"/>
  <c r="I293" i="6"/>
  <c r="I290" i="6"/>
  <c r="I288" i="6"/>
  <c r="I283" i="6"/>
  <c r="I285" i="6"/>
  <c r="F131" i="6"/>
  <c r="F130" i="6"/>
  <c r="F129" i="6"/>
  <c r="F128" i="6"/>
  <c r="F127" i="6"/>
  <c r="F126" i="6"/>
  <c r="F125" i="6"/>
  <c r="H130" i="6"/>
  <c r="H129" i="6"/>
  <c r="H128" i="6"/>
  <c r="H127" i="6"/>
  <c r="H126" i="6"/>
  <c r="H125" i="6"/>
  <c r="I125" i="6" s="1"/>
  <c r="H124" i="6"/>
  <c r="F124" i="6"/>
  <c r="F80" i="6"/>
  <c r="F81" i="6" s="1"/>
  <c r="F82" i="6" s="1"/>
  <c r="F76" i="6"/>
  <c r="F77" i="6" s="1"/>
  <c r="F78" i="6" s="1"/>
  <c r="F72" i="6"/>
  <c r="F73" i="6" s="1"/>
  <c r="F74" i="6" s="1"/>
  <c r="F75" i="6" s="1"/>
  <c r="F68" i="6"/>
  <c r="F69" i="6" s="1"/>
  <c r="F70" i="6" s="1"/>
  <c r="F64" i="6"/>
  <c r="F65" i="6" s="1"/>
  <c r="F66" i="6" s="1"/>
  <c r="F67" i="6" s="1"/>
  <c r="F60" i="6"/>
  <c r="F61" i="6" s="1"/>
  <c r="F62" i="6" s="1"/>
  <c r="F63" i="6" s="1"/>
  <c r="F56" i="6"/>
  <c r="F57" i="6" s="1"/>
  <c r="F58" i="6" s="1"/>
  <c r="F59" i="6" s="1"/>
  <c r="F52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F53" i="6"/>
  <c r="F54" i="6" s="1"/>
  <c r="F123" i="6"/>
  <c r="F122" i="6"/>
  <c r="F121" i="6"/>
  <c r="F120" i="6"/>
  <c r="F119" i="6"/>
  <c r="F118" i="6"/>
  <c r="F117" i="6"/>
  <c r="F116" i="6"/>
  <c r="H122" i="6"/>
  <c r="H121" i="6"/>
  <c r="H120" i="6"/>
  <c r="H119" i="6"/>
  <c r="H118" i="6"/>
  <c r="H117" i="6"/>
  <c r="H116" i="6"/>
  <c r="F108" i="6"/>
  <c r="H114" i="6"/>
  <c r="I114" i="6" s="1"/>
  <c r="H113" i="6"/>
  <c r="I113" i="6" s="1"/>
  <c r="H112" i="6"/>
  <c r="I112" i="6" s="1"/>
  <c r="H111" i="6"/>
  <c r="I111" i="6" s="1"/>
  <c r="H110" i="6"/>
  <c r="I110" i="6" s="1"/>
  <c r="H109" i="6"/>
  <c r="I109" i="6" s="1"/>
  <c r="H108" i="6"/>
  <c r="F106" i="6"/>
  <c r="F107" i="6"/>
  <c r="F105" i="6"/>
  <c r="F104" i="6"/>
  <c r="F103" i="6"/>
  <c r="F102" i="6"/>
  <c r="F101" i="6"/>
  <c r="F100" i="6"/>
  <c r="H106" i="6"/>
  <c r="H105" i="6"/>
  <c r="H104" i="6"/>
  <c r="H103" i="6"/>
  <c r="H102" i="6"/>
  <c r="H101" i="6"/>
  <c r="H100" i="6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6" i="6"/>
  <c r="I86" i="6" s="1"/>
  <c r="H85" i="6"/>
  <c r="I85" i="6" s="1"/>
  <c r="H45" i="6"/>
  <c r="H46" i="6"/>
  <c r="H47" i="6"/>
  <c r="F47" i="6"/>
  <c r="F46" i="6"/>
  <c r="F45" i="6"/>
  <c r="H36" i="6"/>
  <c r="I36" i="6" s="1"/>
  <c r="H35" i="6"/>
  <c r="I35" i="6" s="1"/>
  <c r="H34" i="6"/>
  <c r="I34" i="6" s="1"/>
  <c r="H33" i="6"/>
  <c r="I33" i="6" s="1"/>
  <c r="H32" i="6"/>
  <c r="I32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487" i="6"/>
  <c r="I487" i="6" s="1"/>
  <c r="H486" i="6"/>
  <c r="I486" i="6" s="1"/>
  <c r="H485" i="6"/>
  <c r="I485" i="6" s="1"/>
  <c r="H484" i="6"/>
  <c r="I484" i="6" s="1"/>
  <c r="H483" i="6"/>
  <c r="I483" i="6" s="1"/>
  <c r="I479" i="6" s="1"/>
  <c r="D24" i="5" s="1"/>
  <c r="H413" i="6"/>
  <c r="I413" i="6" s="1"/>
  <c r="H412" i="6"/>
  <c r="I412" i="6" s="1"/>
  <c r="H411" i="6"/>
  <c r="I411" i="6" s="1"/>
  <c r="H410" i="6"/>
  <c r="H409" i="6"/>
  <c r="I409" i="6" s="1"/>
  <c r="H338" i="6"/>
  <c r="I338" i="6" s="1"/>
  <c r="H337" i="6"/>
  <c r="I337" i="6" s="1"/>
  <c r="H336" i="6"/>
  <c r="I336" i="6" s="1"/>
  <c r="H335" i="6"/>
  <c r="I335" i="6" s="1"/>
  <c r="H334" i="6"/>
  <c r="I334" i="6" s="1"/>
  <c r="I330" i="6" s="1"/>
  <c r="H282" i="6"/>
  <c r="H281" i="6"/>
  <c r="I281" i="6" s="1"/>
  <c r="I282" i="6"/>
  <c r="H280" i="6"/>
  <c r="I280" i="6" s="1"/>
  <c r="H279" i="6"/>
  <c r="H278" i="6"/>
  <c r="H164" i="6"/>
  <c r="I164" i="6" s="1"/>
  <c r="H163" i="6"/>
  <c r="I163" i="6" s="1"/>
  <c r="H162" i="6"/>
  <c r="I162" i="6" s="1"/>
  <c r="H161" i="6"/>
  <c r="I161" i="6" s="1"/>
  <c r="H160" i="6"/>
  <c r="I160" i="6" s="1"/>
  <c r="H131" i="6"/>
  <c r="H123" i="6"/>
  <c r="H115" i="6"/>
  <c r="H107" i="6"/>
  <c r="H99" i="6"/>
  <c r="H84" i="6"/>
  <c r="H31" i="6"/>
  <c r="I31" i="6" s="1"/>
  <c r="I106" i="6" l="1"/>
  <c r="I129" i="6"/>
  <c r="I130" i="6"/>
  <c r="I56" i="6"/>
  <c r="I80" i="6"/>
  <c r="I60" i="6"/>
  <c r="I157" i="6"/>
  <c r="I59" i="6"/>
  <c r="I100" i="6"/>
  <c r="I102" i="6"/>
  <c r="I104" i="6"/>
  <c r="I117" i="6"/>
  <c r="I119" i="6"/>
  <c r="I121" i="6"/>
  <c r="I64" i="6"/>
  <c r="I72" i="6"/>
  <c r="F326" i="6"/>
  <c r="I326" i="6" s="1"/>
  <c r="I325" i="6"/>
  <c r="I47" i="6"/>
  <c r="I101" i="6"/>
  <c r="I103" i="6"/>
  <c r="I105" i="6"/>
  <c r="I120" i="6"/>
  <c r="I122" i="6"/>
  <c r="I67" i="6"/>
  <c r="I68" i="6"/>
  <c r="I76" i="6"/>
  <c r="I126" i="6"/>
  <c r="I45" i="6"/>
  <c r="I81" i="6"/>
  <c r="I46" i="6"/>
  <c r="I124" i="6"/>
  <c r="I127" i="6"/>
  <c r="I128" i="6"/>
  <c r="I77" i="6"/>
  <c r="I73" i="6"/>
  <c r="I69" i="6"/>
  <c r="I61" i="6"/>
  <c r="F83" i="6"/>
  <c r="I82" i="6"/>
  <c r="I83" i="6"/>
  <c r="F79" i="6"/>
  <c r="I78" i="6"/>
  <c r="I79" i="6"/>
  <c r="I75" i="6"/>
  <c r="I74" i="6"/>
  <c r="F71" i="6"/>
  <c r="I71" i="6" s="1"/>
  <c r="I70" i="6"/>
  <c r="I66" i="6"/>
  <c r="I65" i="6"/>
  <c r="I62" i="6"/>
  <c r="I63" i="6"/>
  <c r="I58" i="6"/>
  <c r="I57" i="6"/>
  <c r="F55" i="6"/>
  <c r="I55" i="6" s="1"/>
  <c r="I54" i="6"/>
  <c r="I53" i="6"/>
  <c r="I52" i="6"/>
  <c r="I116" i="6"/>
  <c r="I118" i="6"/>
  <c r="I108" i="6"/>
  <c r="I107" i="6"/>
  <c r="I131" i="6"/>
  <c r="I115" i="6"/>
  <c r="I410" i="6"/>
  <c r="I405" i="6" s="1"/>
  <c r="D23" i="5" s="1"/>
  <c r="I99" i="6"/>
  <c r="I279" i="6"/>
  <c r="I84" i="6"/>
  <c r="I278" i="6"/>
  <c r="I274" i="6" s="1"/>
  <c r="I123" i="6"/>
  <c r="I23" i="6" l="1"/>
  <c r="I49" i="6"/>
  <c r="I20" i="6"/>
  <c r="I574" i="6" l="1"/>
  <c r="D20" i="5"/>
  <c r="D25" i="5" s="1"/>
  <c r="E23" i="5" s="1"/>
  <c r="E22" i="5" l="1"/>
  <c r="E24" i="5"/>
  <c r="E20" i="5"/>
  <c r="E25" i="5"/>
  <c r="E21" i="5"/>
</calcChain>
</file>

<file path=xl/sharedStrings.xml><?xml version="1.0" encoding="utf-8"?>
<sst xmlns="http://schemas.openxmlformats.org/spreadsheetml/2006/main" count="6416" uniqueCount="365">
  <si>
    <t>NÚMERO</t>
  </si>
  <si>
    <t>OBSERVAÇÃO</t>
  </si>
  <si>
    <t>OBJETO</t>
  </si>
  <si>
    <t>UNIDADE</t>
  </si>
  <si>
    <t>QUANTITATIVO</t>
  </si>
  <si>
    <t>PREÇO UNITÁRIO</t>
  </si>
  <si>
    <t>PREÇO UNITÁRIO COM BDI</t>
  </si>
  <si>
    <t>PREÇO TOTAL</t>
  </si>
  <si>
    <t>M2</t>
  </si>
  <si>
    <t>ALVENARIA DE VEDAÇÃO COM TIJOLO CERÂMICO FURADO ,ESP.14CM ,PARA REVESTIMENTO, INCLUSIVE ARGAMASSA PARA ASSENTAMENTO</t>
  </si>
  <si>
    <t>BDI</t>
  </si>
  <si>
    <t>CÓDIGO</t>
  </si>
  <si>
    <t>REV-CHA-005</t>
  </si>
  <si>
    <t>REV-EMB-005</t>
  </si>
  <si>
    <t>CHAPISCO COM ARGAMASSA, TRAÇO1:3 (CIMENTOEAREIA), ESP.5MM, APLICADO EM ALVENARIA/ ESTRUTURA DE CONCRETO COM COLHER, PREPARO MECÂNICO</t>
  </si>
  <si>
    <t>EMBOÇO COM ARGAMASSA, TRAÇO 1:6 (CIMENTOEAREIA), ESP.20MM, APLICAÇÃO MANUAL, PREPARO MECÂNICO</t>
  </si>
  <si>
    <t>REBOCOCOMARGAMASSA,TRAÇO1:7(CIMENTOEAREIA),ESP.20MM, APLICAÇÃO MANUAL, PREPARO MECÂNICO</t>
  </si>
  <si>
    <t>REV-REB-005</t>
  </si>
  <si>
    <t>ALV-TIJ-030</t>
  </si>
  <si>
    <t>M</t>
  </si>
  <si>
    <t>COBERTURA EM TELHA DE FIBROCIMENTO ONDULADA E = 5 MM</t>
  </si>
  <si>
    <t>COB-TEL-020</t>
  </si>
  <si>
    <t>RUFO E CONTRA-RUFO DE CHAPA GALVANIZADA Nº. 24, DESENVOLVIMENTO = 15 CM</t>
  </si>
  <si>
    <t>PLU-RUF-005</t>
  </si>
  <si>
    <t>CALHA DE CHAPA GALVANIZADA Nº. 22 GSG, DESENVOLVIMENTO = 100 CM</t>
  </si>
  <si>
    <t>PLU-CAL-030</t>
  </si>
  <si>
    <t>PLU-CHA-005</t>
  </si>
  <si>
    <t>CHAPIM METÁLICO, COM PINGADEIRA, CHAPA GALVANIZADA Nº24, DESENVOLVIMENTO = 35 CM</t>
  </si>
  <si>
    <t>TOTAL</t>
  </si>
  <si>
    <t>PREFEITURA: Município de Capim Branco</t>
  </si>
  <si>
    <t>FOLHA Nº: 02/05</t>
  </si>
  <si>
    <t>LOCAL: CENTRO</t>
  </si>
  <si>
    <t>ISS: 5,00%</t>
  </si>
  <si>
    <t>FORMA DE EXECUÇÃO</t>
  </si>
  <si>
    <t>INDIRETA</t>
  </si>
  <si>
    <t>BDI CONFORME PLANILHA MULTIPLA V3_05 - CAIXA ECONOMICA FEDERAL</t>
  </si>
  <si>
    <t>ORÇAMENTISTA</t>
  </si>
  <si>
    <t>ENG SAMUEL CARLOS DINIZ DOS SANTOS</t>
  </si>
  <si>
    <t>Representante do Tomador / Ag. Promotor ou Tomador</t>
  </si>
  <si>
    <t>CREA/CAU:</t>
  </si>
  <si>
    <t>223019/LD</t>
  </si>
  <si>
    <t>Nome:</t>
  </si>
  <si>
    <t>ELMO ALVES DO NASCIMENTO</t>
  </si>
  <si>
    <t>Cargo:</t>
  </si>
  <si>
    <t>PREFEITO MUNICIPAL</t>
  </si>
  <si>
    <t>FOLHA Nº: 01/05</t>
  </si>
  <si>
    <t>CRONOGRAMA FISICO FINANCEIRO</t>
  </si>
  <si>
    <t>VALOR/META</t>
  </si>
  <si>
    <t>PESO</t>
  </si>
  <si>
    <t>MÊS 1</t>
  </si>
  <si>
    <t>MÊS 2</t>
  </si>
  <si>
    <t>FOLHA Nº: 03/05</t>
  </si>
  <si>
    <t>MEMORIAL DE CALCULO</t>
  </si>
  <si>
    <t>COMPRIMENTO</t>
  </si>
  <si>
    <t>FOLHA Nº: 04/05</t>
  </si>
  <si>
    <t>FOLHA Nº: 05/05</t>
  </si>
  <si>
    <t>MODELO DE BOLETIM DE METIÇÃO A SER SEGUIDO</t>
  </si>
  <si>
    <t>CRONOGRAMA FÍSICO (%)</t>
  </si>
  <si>
    <t>CRONOGRAMA FINANCEIRO (R$)</t>
  </si>
  <si>
    <t>SALDO</t>
  </si>
  <si>
    <t>ACUMULADO ANTERIOR</t>
  </si>
  <si>
    <t>PERIODO</t>
  </si>
  <si>
    <t>ACUMULADO INCLUINDO O PERIODO</t>
  </si>
  <si>
    <t>FORNECIMENTO E ASSENTAMENTO DE TUBO PVC RÍGIDO, DRENAGEM/PLUVIAL, PBV - SÉRIE NORMAL, DN 100 MM (4"), INCLUSIVE CONEXÕES</t>
  </si>
  <si>
    <t>DRE-TUB-015</t>
  </si>
  <si>
    <t>8*2*3,5</t>
  </si>
  <si>
    <t>REMOÇÃO DE TELHA TIPO CALHA DE FIBROCIMENTO, INCLUSIVE AFASTAMENTO E EMPILHAMENTO</t>
  </si>
  <si>
    <t>DEM-TEL-010</t>
  </si>
  <si>
    <t>PIN-LAT-005</t>
  </si>
  <si>
    <t>PINTURA LÁTEX (PVA) EM PAREDE, DUAS (2) DEMÃOS, EXCLUSIVE SELADOR ACRÍLICO E MASSA ACRÍLICA/CORRIDA (PVA)</t>
  </si>
  <si>
    <t>PIN-SEL-005</t>
  </si>
  <si>
    <t>PREPARAÇÃO PARA EMASSAMENTO OU PINTURA (LÁTEX/ACRÍLICA) EM PAREDE, INCLUSIVE UMA (1) DEMÃO DE SELADOR ACRÍLICO</t>
  </si>
  <si>
    <t>PIN-ESM-005</t>
  </si>
  <si>
    <t xml:space="preserve">PINTURA ESMALTE EM ESQUADRIAS DE FERRO, DUAS (2) DEMÃOS,
INCLUSIVE UMA (1) DEMÃO DE FUNDO ANTICORROSIVO
</t>
  </si>
  <si>
    <t>PIN-ACR-011</t>
  </si>
  <si>
    <t>PINTURA ACRÍLICA EM TETO, TRÊS (3) DEMÃOS, EXCLUSIVE SELADOR
ACRÍLICO E MASSA ACRÍLICA/CORRIDA (PVA)</t>
  </si>
  <si>
    <t>PIN-SEL-010</t>
  </si>
  <si>
    <t>PREPARAÇÃO PARA EMASSAMENTO OU PINTURA (LÁTEX/ACRÍLICA)
EM TETO, INCLUSIVE UMA (1) DEMÃO DE SELADOR ACRÍLICO</t>
  </si>
  <si>
    <t>COB-ENG-010</t>
  </si>
  <si>
    <t>PINTURA ESCOLA RUTE BRAZ (PERI-PERI)</t>
  </si>
  <si>
    <t>PINTURA ESCOLA DEPUTADO EMILIO (CENTRO)</t>
  </si>
  <si>
    <t>COBERTURA ESCOLA DEPUTADO EMILIO (CENTRO)</t>
  </si>
  <si>
    <t>DEMOLIÇÃO ESCOLA DEPUTADO EMILIO (CENTRO)</t>
  </si>
  <si>
    <t>ESCOLA MUNICIPAL DEPUTADO EMILIO DE VASCONCELOS COSTA</t>
  </si>
  <si>
    <t>DEMOLIÇÃO DE PISO CERÂMICO OU LADRILHO HIDRÁULICO,
INCLUSIVE AFASTAMENTO</t>
  </si>
  <si>
    <t>DEM-PIS-010</t>
  </si>
  <si>
    <t>DEM-PIS-005</t>
  </si>
  <si>
    <t>DEMOLIÇÃO DE PISO CIMENTADO OU CONTRAPISO DE ARGAMASSA ESPESSURA MÁXIMA DE 10CM, INCLUSIVE AFASTAMENTO</t>
  </si>
  <si>
    <t>DEM-ALV-010</t>
  </si>
  <si>
    <t>M3</t>
  </si>
  <si>
    <t>DEMOLIÇÃO DE ALVENARIA DE TIJOLO CERÂMICO SEM APROVEITAMENTO DO MATERIAL, INCLUSIVE AFASTAMENTO</t>
  </si>
  <si>
    <t>DEM-POR-030</t>
  </si>
  <si>
    <t>REMOÇÃO DE PORTA OU JANELA METÁLICA, INCLUSIVE AFASTAMENTO</t>
  </si>
  <si>
    <t>COBERTURA NÚMERO 8</t>
  </si>
  <si>
    <t>COBERTURA NÚMERO 7</t>
  </si>
  <si>
    <t>COBERTURA NÚMERO 6</t>
  </si>
  <si>
    <t>COBERTURA NÚMERO 5</t>
  </si>
  <si>
    <t>COBERTURA NÚMERO 4</t>
  </si>
  <si>
    <t>COBERTURA NÚMERO 3</t>
  </si>
  <si>
    <t>COBERTURA NÚMERO 2</t>
  </si>
  <si>
    <t>COBERTURA NÚMERO 1</t>
  </si>
  <si>
    <t>DEM-ENG-010</t>
  </si>
  <si>
    <t>DEMOLIÇÃO DE ENGRADAMENTO DE TELHA TIPO CALHA DE FIBROCIMENTO, INCLUSIVE EMPILHAMENTO</t>
  </si>
  <si>
    <t>SALA 3</t>
  </si>
  <si>
    <t>ANDAIME</t>
  </si>
  <si>
    <t>COBERTURA NÚMERO 1 (KALHETÃO)</t>
  </si>
  <si>
    <t>COBERTURA NÚMERO 2 (KALHETÃO)</t>
  </si>
  <si>
    <t>COBERTURA NÚMERO 3 (KALHETÃO)</t>
  </si>
  <si>
    <t>COBERTURA NÚMERO 4 (KALHETÃO)</t>
  </si>
  <si>
    <t>COBERTURA NÚMERO 5 (KALHETÃO)</t>
  </si>
  <si>
    <r>
      <t xml:space="preserve">ENGRADAMENTO PARA </t>
    </r>
    <r>
      <rPr>
        <b/>
        <sz val="11"/>
        <color theme="1"/>
        <rFont val="Calibri"/>
        <family val="2"/>
        <scheme val="minor"/>
      </rPr>
      <t>TELHADO DE FIBROCIMENTO ONDULADA</t>
    </r>
  </si>
  <si>
    <t>PLATIBANDA COM 1 M DE H DA COBERTURA N° 1</t>
  </si>
  <si>
    <t>CONSTRUÇÃO ESCOLA DEPUTADO EMILIO</t>
  </si>
  <si>
    <t>PINTURA ESCOLA MUNICIPAL SIMEÃO LOPES (BOA VISTA)</t>
  </si>
  <si>
    <t>SALA 1</t>
  </si>
  <si>
    <t>SALA 2</t>
  </si>
  <si>
    <t>SALA 4</t>
  </si>
  <si>
    <t>SALA 5</t>
  </si>
  <si>
    <t>SALA 6</t>
  </si>
  <si>
    <t>BANHEIRO 1</t>
  </si>
  <si>
    <t>BANHEIRO 2</t>
  </si>
  <si>
    <t>DISPENSA</t>
  </si>
  <si>
    <t>BANHEIRO 3</t>
  </si>
  <si>
    <t>COZINHA</t>
  </si>
  <si>
    <t>MURO/ PORTÃO</t>
  </si>
  <si>
    <t>AREA EXTERNA</t>
  </si>
  <si>
    <t>SALA 7</t>
  </si>
  <si>
    <t>SALA 8</t>
  </si>
  <si>
    <t>SALA 9</t>
  </si>
  <si>
    <t>SALA 10</t>
  </si>
  <si>
    <t>PINTURA ESCOLA MUNICIPAL MARIA BARBOSA (ARAÇAS)</t>
  </si>
  <si>
    <t>CIRCULAÇÃO</t>
  </si>
  <si>
    <t>BIBLIOTECA</t>
  </si>
  <si>
    <t>REFEITÓRIO</t>
  </si>
  <si>
    <t>BANHEIRO 4</t>
  </si>
  <si>
    <t>PINTURA ESCOLA MUNICIPAL MARTINIANO FERNANDES LOBO (REPRESA)</t>
  </si>
  <si>
    <t>DISPENSA 1</t>
  </si>
  <si>
    <t>DISPENSA 2</t>
  </si>
  <si>
    <t>BANHEIRO 5</t>
  </si>
  <si>
    <t>BANHEIRO 6</t>
  </si>
  <si>
    <t>COBERTURA NÚMERO 6 (FIBROCIMENTO)</t>
  </si>
  <si>
    <t>COBERTURA NÚMERO 7 (FIBROCIMENTO)</t>
  </si>
  <si>
    <t>COBERTURA NÚMERO 8 (FIBROCIMENTO)</t>
  </si>
  <si>
    <t>ABERTURA PARA O CORREDOR ENTRE SALA 3 E 4</t>
  </si>
  <si>
    <t>PORTA (SALA 3)</t>
  </si>
  <si>
    <t>JANELA (SALA 3)</t>
  </si>
  <si>
    <t>M/MÊS</t>
  </si>
  <si>
    <t>FORNECIMENTO DE ANDAIME METÁLICO TUBULAR TIPO TORRE (LOCAÇÃO), INCLUSIVE RODÍZIOS, EXCLUSIVE MONTAGEM E
DESMONTAGEM</t>
  </si>
  <si>
    <t>MONTAGEM E DESMONTAGEM DE ANDAIMEMETÁLICO TUBULAR TIPO TORRE, EXCLUSIVE FORNECIMENTO DO ANDAIME</t>
  </si>
  <si>
    <t>ED-9077</t>
  </si>
  <si>
    <t>ED-9076</t>
  </si>
  <si>
    <t>DEMOLIÇÃO MANUAL DE CONCRETO ARMADO</t>
  </si>
  <si>
    <t>RO-43107</t>
  </si>
  <si>
    <t>MURO DE PLACA DO FUNDO</t>
  </si>
  <si>
    <t>PLACA DE OBRA EM CHAPA DE ACO GALVANIZADO</t>
  </si>
  <si>
    <t>74209/1</t>
  </si>
  <si>
    <t>INFORMAÇÕES GERAIS</t>
  </si>
  <si>
    <t>FUNDO E ADJACENTE A SALA 3 CONFORME PROJETO</t>
  </si>
  <si>
    <t>MUR-BLO-010</t>
  </si>
  <si>
    <t>PIS-CER-010</t>
  </si>
  <si>
    <t>MURO DIVISÓRIO BLOCO DE CONCRETO APARENTE E = 15 CM, H = 2,20 M, INCLUSIVE SAPATA DE CONCRETO ARMADO FCK = 15
MPA, 50 X 55 CM</t>
  </si>
  <si>
    <t>REVESTIMENTO COM CERÂMICA APLICADO EM PISO, ACABAMENTO ESMALTADO, AMBIENTE INTERNO, PADRÃO EXTRA,
DIMENSÃO DA PEÇA ATÉ 2025 CM2, PEI V, ASSENTAMENTO COM ARGAMASSA INDUSTRIALIZADA, INCLUSIVE REJUNTAMENTO</t>
  </si>
  <si>
    <t>CONCERTINA CLIPADA MODELO ESPIRAL HELICOIDAL DUPLA D = 450 MM</t>
  </si>
  <si>
    <t>MUR-CON-005</t>
  </si>
  <si>
    <t>DESPENSA</t>
  </si>
  <si>
    <t>ED-9081</t>
  </si>
  <si>
    <t>REVESTIMENTO COM CERÂMICA APLICADO EM PAREDE, ACABAMENTO ESMALTADO, AMBIENTE INTERNO/EXTERNO, PADRÃO EXTRA, DIMENSÃO DA PEÇA ATÉ 2025 CM2, PEI III, ASSENTAMENTO COM ARGAMASSA INDUSTRIALIZADA, INCLUSIVE
REJUNTAMENTO</t>
  </si>
  <si>
    <t xml:space="preserve">ESTRUTURA DE AÇO PARA COBERTURA EM ARCO , ESPAÇAMENTO
ENTRE ARCOS 4 M, VÃO 15 M </t>
  </si>
  <si>
    <t>ESTRUTURA DE AÇO PARA COBERTURA EM ARCO , ESPAÇAMENTO ENTRE ARCOS 4 M, VÃO 15 M</t>
  </si>
  <si>
    <t>EST-MET-045</t>
  </si>
  <si>
    <t>COTAÇÃO</t>
  </si>
  <si>
    <t>TENDA</t>
  </si>
  <si>
    <t>MURETA + GRELHA LOCALIZADO NA ENTRADA DA ESCOLA</t>
  </si>
  <si>
    <t>GRELHA EM CANTONEIRA DE AÇO 5/8" X 5/8" X 1/8" E FERRO DE 1/2" ESPAÇADOS DE 4 CM, L = 30 CM</t>
  </si>
  <si>
    <t>SER-GRE-005</t>
  </si>
  <si>
    <t>CONTRAPISO DESEMPENADO COM ARGAMASSA, TRAÇO 1:3 (CIMENTO E AREIA), ESP. 20MM</t>
  </si>
  <si>
    <t>PIS-CON-005</t>
  </si>
  <si>
    <t>PINTURA ESMALTE EM ESQUADRIAS DE FERRO, DUAS (2) DEMÃOS,
INCLUSIVE UMA (1) DEMÃO DE FUNDO ANTICORROSIVO</t>
  </si>
  <si>
    <t>CORREDOR AO LADO DA SALA 3</t>
  </si>
  <si>
    <t>SALA DOS PROFESSORES</t>
  </si>
  <si>
    <t>DEPÓSITO 1</t>
  </si>
  <si>
    <t>DEPÓSITO 2</t>
  </si>
  <si>
    <t>BANHEIRO DA DIRETORIA</t>
  </si>
  <si>
    <t>DIRETORIA</t>
  </si>
  <si>
    <t>SECRETARIA</t>
  </si>
  <si>
    <t>SUPERVISÃO</t>
  </si>
  <si>
    <t>ALMOXARIFADO 1</t>
  </si>
  <si>
    <t>ALMOXARIFADO 2</t>
  </si>
  <si>
    <t>BANHEIRO MASCULINO</t>
  </si>
  <si>
    <t>BANHEIRO FEMININO</t>
  </si>
  <si>
    <t>BANHEIRO PNE</t>
  </si>
  <si>
    <t>SALA DE RECURSOS</t>
  </si>
  <si>
    <t>OBRA: REFORMA DAS ESCOLAS MUNICIPAIS DE CAPIM BRANCO</t>
  </si>
  <si>
    <t>DATA: 01/03/2020</t>
  </si>
  <si>
    <t>OBRA: REFORMA DAS ESCOLAS DO MUNICIPIO DE CAPIM BRANCO</t>
  </si>
  <si>
    <t>PLANILHA SETOP 11/2019 E SINAP 12/2019</t>
  </si>
  <si>
    <t>ÁREA</t>
  </si>
  <si>
    <t>2*(2*0,28*3,9)-(0,8*2,1)-(1,6*1,5)</t>
  </si>
  <si>
    <t>0,8*2,1</t>
  </si>
  <si>
    <t>2,5*1,5</t>
  </si>
  <si>
    <t>10,64*1,6*0,05</t>
  </si>
  <si>
    <t>VOLUME</t>
  </si>
  <si>
    <t>2*46,38</t>
  </si>
  <si>
    <t>46,98-13,53</t>
  </si>
  <si>
    <t>2*(46,98-13,53)</t>
  </si>
  <si>
    <t>29,76-3,36</t>
  </si>
  <si>
    <t>2*(29,76-3,36)</t>
  </si>
  <si>
    <t>43,24-4,08-6,18</t>
  </si>
  <si>
    <t>2*(43,24-4,08-6,18)</t>
  </si>
  <si>
    <t>51,24-6,18</t>
  </si>
  <si>
    <t>2*(51,24-6,18)</t>
  </si>
  <si>
    <t>2*26,76</t>
  </si>
  <si>
    <t>25,64-4,83</t>
  </si>
  <si>
    <t>2*(25,64-4,83)</t>
  </si>
  <si>
    <t>26,76-4,83</t>
  </si>
  <si>
    <t>2*(26,76-4,83)</t>
  </si>
  <si>
    <t>(15,33+7,38+7,38)</t>
  </si>
  <si>
    <t>(16,24+6,77+6,77)</t>
  </si>
  <si>
    <t>(11,16+3,36+3,36)</t>
  </si>
  <si>
    <t>(15,45+5,94+5,94)</t>
  </si>
  <si>
    <t>(18,35+6,79+6,79)</t>
  </si>
  <si>
    <t>(8,28+4,63+4,63)</t>
  </si>
  <si>
    <t>(7,99+4,59+4,59)</t>
  </si>
  <si>
    <t>2*3,5</t>
  </si>
  <si>
    <t>ALTURA</t>
  </si>
  <si>
    <t>10,64+2,54</t>
  </si>
  <si>
    <t>12,94*2,7-1*2,1</t>
  </si>
  <si>
    <t>3*8</t>
  </si>
  <si>
    <t>3*8,5</t>
  </si>
  <si>
    <t>4,48*0,6</t>
  </si>
  <si>
    <t>2*(4,48*0,6)</t>
  </si>
  <si>
    <t>0,2*4,68</t>
  </si>
  <si>
    <t>27,89*3,9-(1,05*3,1*5+0,8*2,1)</t>
  </si>
  <si>
    <t>1,05*3,1*5+0,8*2,1</t>
  </si>
  <si>
    <t>27,94*3,9-(1,05*3,1*5+0,8*2,1)</t>
  </si>
  <si>
    <t>24,6*3,9-(2,5*1,5+0,8*2,1)</t>
  </si>
  <si>
    <t>2,5*1,5+0,8*2,1</t>
  </si>
  <si>
    <t>16,9*3,9-0,8*2,1-2*3,9</t>
  </si>
  <si>
    <t>2,5*1,5*2+0,8*2,1</t>
  </si>
  <si>
    <t>28,86*3,9-(2,5*1,5*2+0,8*2,1)</t>
  </si>
  <si>
    <t>14,6*3-(1*1+1,6*1,2+0,8*2,1)</t>
  </si>
  <si>
    <t>1*1+1,6*1,2+0,8*2,1</t>
  </si>
  <si>
    <t>8,99*2,2-(0,7*2,1+0,5*1,3)</t>
  </si>
  <si>
    <t>0,7*2,1+0,5*1,3</t>
  </si>
  <si>
    <t>6,59*2,2-0,7*2,1</t>
  </si>
  <si>
    <t>0,7*2,1</t>
  </si>
  <si>
    <t>0,8*2,1+1,8*0,3</t>
  </si>
  <si>
    <t>12,12*3,5-(2*3*1,5+0,8*2,1)</t>
  </si>
  <si>
    <t>2*3*1,5+0,8*2,1</t>
  </si>
  <si>
    <t>3,15+0,8*2,1*2</t>
  </si>
  <si>
    <t>1*1+0,8*2,1</t>
  </si>
  <si>
    <t>13,9*3-(3*1,5+0,8*2,1)</t>
  </si>
  <si>
    <t>3*1,5+0,8*2,1</t>
  </si>
  <si>
    <t>17,28*2,8-(1,5*1+0,8*2,1)</t>
  </si>
  <si>
    <t>1,5*1+0,8*2,1</t>
  </si>
  <si>
    <t>1,4*0,3+0,6*2,1</t>
  </si>
  <si>
    <t>2*0,5*0,5+0,8*2,1</t>
  </si>
  <si>
    <t>1*2,1+0,5*0,5</t>
  </si>
  <si>
    <t>27,4*3,9-(2*2*1,15+2*1,2+0,8*2,1)</t>
  </si>
  <si>
    <t>2*2*1,15+2*1,2+0,8*2,1</t>
  </si>
  <si>
    <t>25,36*3,3-(6,85*1,7+0,8*2,1)</t>
  </si>
  <si>
    <t>6,85*1,7+0,8*2,1</t>
  </si>
  <si>
    <t>25,06*3,3-6,85*1,7+0,8*2,1</t>
  </si>
  <si>
    <t>25,12*3,3-(6,85*1,7+0,8*2,1)</t>
  </si>
  <si>
    <t>25,42*3,5-(2*1,5*1,2+0,8*2,1)</t>
  </si>
  <si>
    <t>2*1,5*1,2+0,8*2,1</t>
  </si>
  <si>
    <t>24,66*3,5-(2*1,5*1,2+0,8*2,1)</t>
  </si>
  <si>
    <t>41,74*3,85+153,39*4,3+103,97*4,3-(1,05*3,1*5+0,8*2,1+1,05*3,1*5+0,8*2,1+2,5*1,5+0,8*2,1+0,8*2,1+2,5*1,5*2+0,8*2,1+1*1+1,6*1,2+0,8*2,1+0,7*2,1+0,5*1,3+0,7*2,1+0,8*2,1+1,8*0,3+2*3*1,5+0,8*2,1+3,15+0,8*2,1*2+1*1+0,8*2,1+3*1,5+0,8*2,1+1,5*1+0,8*2,1+1,4*0,3+0,6*2,1+1,4*0,3+0,6*2,1+2*0,5*0,5+0,8*2,1+2*0,5*0,5+0,8*2,1+1*2,1+0,5*0,5+2*2*1,15+2*1,2+0,8*2,1+6,85*1,7+0,8*2,1+6,85*1,7+0,8*2,1+6,85*1,7+0,8*2,1+2*1,5*1,2+0,8*2,1+2*1,5*1,2+0,8*2,1)</t>
  </si>
  <si>
    <t>(36,78+50,69+59,25+(15+47,32)*2)*2,2</t>
  </si>
  <si>
    <t>4,05*2,2+4,05*1,6+3,9*2,2</t>
  </si>
  <si>
    <t>4*1,05*1,55+2*1,5*1,3+0,8*2,1</t>
  </si>
  <si>
    <t>28,6*2,8-(4*1,05*1,55+2*1,5*1,3+0,8*2,1)</t>
  </si>
  <si>
    <t>22,45*2,8-(2*1,25*1,55+0,8*2,1)</t>
  </si>
  <si>
    <t>2*1,25*1,55+0,8*2,1</t>
  </si>
  <si>
    <t>22,45*2,8-(1,5*1,55+0,8*2,1)</t>
  </si>
  <si>
    <t>1,5*1,55+0,8*2,1</t>
  </si>
  <si>
    <t>28,15*2,8-(2*1,8*2,8+0,8*2,1)</t>
  </si>
  <si>
    <t>2*1,8*2,8+0,8*2,1</t>
  </si>
  <si>
    <t>15,2*2,8-(2,8*1,6+0,8*2,1)</t>
  </si>
  <si>
    <t>2,8*1,6+0,8*2,1</t>
  </si>
  <si>
    <t>2*0,5*0,7+0,6*2,1</t>
  </si>
  <si>
    <t>8,4*2,8-(2*0,7*0,5+0,8*2,1)</t>
  </si>
  <si>
    <t>2*0,7*0,5+0,8*2,1</t>
  </si>
  <si>
    <t>1,8*1,6+2,8*1,6+0,8*2,1</t>
  </si>
  <si>
    <t>0,5*0,5+0,6*2,1</t>
  </si>
  <si>
    <t>(2*8,4*3+2*(6,5*3+6,5*1,25/2))+(2*8,5*3+2*(6,5*3+6,5*1,25/2))+(2*((3,2+5,3)*4,55/2)+(14,5*3,2)+(14,5*5,3))+((17,35*6)+2*((4,5+3,2)*4,4/2)+(17,35*3,2)+2*((4,5+3,5)*4,4/2))+(5,15+25,75)*1-G280-G285-G290-G295-G300-G305-G308-G311-G316--G319-G322</t>
  </si>
  <si>
    <t>140,29*2,2-3*2,2</t>
  </si>
  <si>
    <t>2*1,2*2+0,8*2,1</t>
  </si>
  <si>
    <t>22,1*2,8-(2*1,2*2+0,8*2,1)</t>
  </si>
  <si>
    <t>21,2*2,8-(2*1,2*2+0,8*2,1)</t>
  </si>
  <si>
    <t>20*2,8-(2*1,2*2+0,8*2,1)</t>
  </si>
  <si>
    <t>15*2,8-0,8*2,1</t>
  </si>
  <si>
    <t>23*2,8-(1,2*2+0,8*2,1)</t>
  </si>
  <si>
    <t>1,2*2+0,8*2,1</t>
  </si>
  <si>
    <t>20*2,8-(1,2*2+0,8*2,1)</t>
  </si>
  <si>
    <t>21,4*2,8-(2*1,2*2+0,8*2,1)</t>
  </si>
  <si>
    <t>23,2*2,8-(2*1,2*2+0,8*2,1)</t>
  </si>
  <si>
    <t>15,4*2,8-(0,8*2,1)</t>
  </si>
  <si>
    <t>10,6*2,8-0,8*2,1</t>
  </si>
  <si>
    <t>0,6*0,4</t>
  </si>
  <si>
    <t>2*0,8*2,1+1*1</t>
  </si>
  <si>
    <t>11,15*2,8-(0,8*2,1+1,2*1,2)</t>
  </si>
  <si>
    <t>0,8*2,1+1,2*1,2</t>
  </si>
  <si>
    <t>(49,48+5,13+15,95+112,3+8,45)*3,2+(13,5*3,9)+(44*0,6)*2</t>
  </si>
  <si>
    <t>(26,15+5,13)*3,2+(29,9+3,11+0,15+0,15+2,4)*1,15</t>
  </si>
  <si>
    <t>29,9*1,15+3,05*2,3</t>
  </si>
  <si>
    <t>ÁLTURA</t>
  </si>
  <si>
    <t>1,2*1,2+0,8*2,1</t>
  </si>
  <si>
    <t>12,87*3-(1,2*1,2+0,8*2,1)</t>
  </si>
  <si>
    <t>2,68*3-(0,6*2,1)</t>
  </si>
  <si>
    <t>0,6*2,1</t>
  </si>
  <si>
    <t>2*1,2+0,8*2,1</t>
  </si>
  <si>
    <t>17*3-(2*1,2+0,8*2,1)</t>
  </si>
  <si>
    <t>3*2*1,2+0,8*2,1</t>
  </si>
  <si>
    <t>27,99*3-(3*2*1,2+0,8*2,1)</t>
  </si>
  <si>
    <t>4*2*1,2+0,8*2,1</t>
  </si>
  <si>
    <t>24*3-(4*2*1,2+0,8*2,1)</t>
  </si>
  <si>
    <t>38,8*3-(7*0,8*2,1+2*2,1)</t>
  </si>
  <si>
    <t>7*0,8*2,1+2*2,1</t>
  </si>
  <si>
    <t>3*0,8*2,1+1,5*1,2+2*1,2</t>
  </si>
  <si>
    <t>20*3-(3*0,8*2,1+1,5*1,2+2*1,2)</t>
  </si>
  <si>
    <t>6*0,8*2,1+2*1,5*1,2</t>
  </si>
  <si>
    <t>36,55*3-(6*0,8*2,1+2*1,5*1,2)</t>
  </si>
  <si>
    <t>1,8*1,2+0,8*2,1</t>
  </si>
  <si>
    <t>1,5*1,2+0,8*2,1</t>
  </si>
  <si>
    <t>0,8*2,1+1*1</t>
  </si>
  <si>
    <t>0,55*0,55+0,8*2,1</t>
  </si>
  <si>
    <t>3*1,5*1,2+2*0,8*2,1</t>
  </si>
  <si>
    <t>14,55*3,3+2,7*3+3,75*3,15+1*(3+3,15)/2+5,85*(3,15+3,8)/2+1,5*(3,8+3)/2+14,94*3+8,14*3+8,14*1/2+6,39*(3,3+3)/2+14,35*3,3+15,4*3,6</t>
  </si>
  <si>
    <t>24,6*2,8-(3*1,5*1,2+0,8*2,1)</t>
  </si>
  <si>
    <t>3*1,5*1,2+0,8*2,1</t>
  </si>
  <si>
    <t>24,6*2,8-(2*1,5*1,2+0,8*2,1)</t>
  </si>
  <si>
    <t>24,6*2,8-(2*1,5*1,2+2*0,8*2,1)</t>
  </si>
  <si>
    <t>2*1,5*1,2+2*0,8*2,1</t>
  </si>
  <si>
    <t>19,9*2,8-(2*1,5*1,2+0,8*2,1)</t>
  </si>
  <si>
    <t>28*2,8-(4*1,5*1,2+0,8*2,1)</t>
  </si>
  <si>
    <t>4*1,5*1,2+0,8*2,1</t>
  </si>
  <si>
    <t>24,5*2,8-(2*1,5*1,2+0,8*2,1)</t>
  </si>
  <si>
    <t>24,5*2,8-(3*1,5*1,2+0,8*2,1)</t>
  </si>
  <si>
    <t>13,4*2,8-(1,5*1,2+0,8*2,1+0,6*2,1)</t>
  </si>
  <si>
    <t>1,5*1,2+0,8*2,1+0,6*2,1</t>
  </si>
  <si>
    <t>16,8*2,8-(1,5*1,2+0,8*2,1+0,6*2,1)</t>
  </si>
  <si>
    <t>79,3*2,8-(11*0,8*2,1+4*0,6*2,1+1*2,1+2*1*1,8)</t>
  </si>
  <si>
    <t>11*0,8*2,1+4*0,6*2,1+1*2,1+2*1*1,8</t>
  </si>
  <si>
    <t>6*2,8-(0,5*0,5+0,6*2,1)</t>
  </si>
  <si>
    <t>11,8*2,8-(1,5*1,2+0,8*2,1)</t>
  </si>
  <si>
    <t>0,5*0,5+1*2,1</t>
  </si>
  <si>
    <t>0,6*2,1+0,5*0,5</t>
  </si>
  <si>
    <t>0,8*2,1+1,5*1,2</t>
  </si>
  <si>
    <t>25,15*4,8+8,95*(4,8+3,4)/2+1,95*3,4+12,65*4,4+23,2*3,5+5,95*(4,8+3,7)/2+9,95*(3,7+5,1)/2+6*(5,1+3,5)/2</t>
  </si>
  <si>
    <t>ESCOLA MUNICIPAL SIMEÃO LOPES</t>
  </si>
  <si>
    <t>PINTURA ESCOLA MUNICIPAL RUTE BRAZ (PERI-PERI)</t>
  </si>
  <si>
    <t>ESCOLA MUNICIPAL RUTE BRAZ</t>
  </si>
  <si>
    <t>ESCOLA MUNICIPAL MARIA BARBOSA</t>
  </si>
  <si>
    <t>ESCOLA MUNICIPAL MARTINIANO FERNANDES LOBO</t>
  </si>
  <si>
    <t>MÊS 3</t>
  </si>
  <si>
    <t>MÊS 4</t>
  </si>
  <si>
    <t>PLANILHA SETOP 11/2019  E SINAP 12/2019</t>
  </si>
  <si>
    <t>DATA: 01/03/2019</t>
  </si>
  <si>
    <t>145*2,2</t>
  </si>
  <si>
    <t>3*2,2</t>
  </si>
  <si>
    <t>185*2,2</t>
  </si>
  <si>
    <t>und</t>
  </si>
  <si>
    <t>Toudo lona de pvc opaca 3x8</t>
  </si>
  <si>
    <t>Toudo lona de pvc opaca 3x8,5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</si>
</sst>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1"/>
      <name val="Calibri"/>
      <family val="2"/>
      <scheme val="minor"/>
    </font>
    <font>
      <b/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000000"/>
      <name val="Book Antiqua"/>
      <family val="1"/>
    </font>
    <font>
      <sz val="11"/>
      <name val="Calibri"/>
      <family val="2"/>
    </font>
    <font>
      <u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0" fillId="0" borderId="0" xfId="0" applyNumberFormat="1"/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Border="1"/>
    <xf numFmtId="164" fontId="1" fillId="0" borderId="1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0" xfId="0" applyNumberFormat="1" applyFont="1" applyAlignment="1">
      <alignment horizontal="center" vertical="center"/>
    </xf>
    <xf numFmtId="2" fontId="0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0" xfId="0" applyFill="1"/>
    <xf numFmtId="164" fontId="1" fillId="3" borderId="11" xfId="0" applyNumberFormat="1" applyFont="1" applyFill="1" applyBorder="1" applyAlignment="1">
      <alignment horizontal="center"/>
    </xf>
    <xf numFmtId="0" fontId="0" fillId="3" borderId="0" xfId="0" applyFill="1" applyBorder="1"/>
    <xf numFmtId="164" fontId="1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10" fontId="4" fillId="3" borderId="0" xfId="0" applyNumberFormat="1" applyFont="1" applyFill="1" applyBorder="1" applyAlignment="1">
      <alignment vertical="center" wrapText="1"/>
    </xf>
    <xf numFmtId="164" fontId="0" fillId="3" borderId="0" xfId="0" applyNumberForma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0" fillId="2" borderId="10" xfId="0" applyFill="1" applyBorder="1"/>
    <xf numFmtId="0" fontId="0" fillId="2" borderId="9" xfId="0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/>
    <xf numFmtId="2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9" xfId="0" applyNumberFormat="1" applyFill="1" applyBorder="1"/>
    <xf numFmtId="164" fontId="0" fillId="2" borderId="8" xfId="0" applyNumberFormat="1" applyFill="1" applyBorder="1" applyAlignment="1">
      <alignment horizontal="center" vertical="center"/>
    </xf>
    <xf numFmtId="0" fontId="0" fillId="2" borderId="11" xfId="0" applyFill="1" applyBorder="1"/>
    <xf numFmtId="0" fontId="0" fillId="2" borderId="0" xfId="0" applyFill="1" applyBorder="1" applyAlignment="1">
      <alignment horizontal="left" vertical="center" wrapText="1"/>
    </xf>
    <xf numFmtId="0" fontId="8" fillId="2" borderId="15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left"/>
    </xf>
    <xf numFmtId="0" fontId="10" fillId="2" borderId="15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2" fontId="0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/>
    <xf numFmtId="164" fontId="0" fillId="2" borderId="15" xfId="0" applyNumberForma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3" xfId="0" applyFill="1" applyBorder="1"/>
    <xf numFmtId="2" fontId="0" fillId="2" borderId="13" xfId="0" applyNumberFormat="1" applyFon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3" xfId="0" applyNumberFormat="1" applyFill="1" applyBorder="1"/>
    <xf numFmtId="164" fontId="0" fillId="2" borderId="14" xfId="0" applyNumberFormat="1" applyFill="1" applyBorder="1" applyAlignment="1">
      <alignment horizontal="center" vertical="center"/>
    </xf>
    <xf numFmtId="0" fontId="0" fillId="3" borderId="10" xfId="0" applyFill="1" applyBorder="1"/>
    <xf numFmtId="0" fontId="0" fillId="3" borderId="9" xfId="0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/>
    <xf numFmtId="2" fontId="0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9" xfId="0" applyNumberFormat="1" applyFill="1" applyBorder="1"/>
    <xf numFmtId="164" fontId="0" fillId="3" borderId="8" xfId="0" applyNumberFormat="1" applyFill="1" applyBorder="1" applyAlignment="1">
      <alignment horizontal="center" vertical="center"/>
    </xf>
    <xf numFmtId="0" fontId="0" fillId="3" borderId="11" xfId="0" applyFill="1" applyBorder="1"/>
    <xf numFmtId="0" fontId="0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2" fontId="0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/>
    <xf numFmtId="164" fontId="0" fillId="3" borderId="15" xfId="0" applyNumberFormat="1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ont="1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/>
    <xf numFmtId="2" fontId="0" fillId="3" borderId="13" xfId="0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3" xfId="0" applyNumberFormat="1" applyFill="1" applyBorder="1"/>
    <xf numFmtId="0" fontId="8" fillId="4" borderId="11" xfId="0" applyFont="1" applyFill="1" applyBorder="1" applyAlignment="1" applyProtection="1">
      <alignment vertical="center" wrapText="1"/>
    </xf>
    <xf numFmtId="10" fontId="7" fillId="4" borderId="1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0" fontId="12" fillId="3" borderId="17" xfId="0" applyNumberFormat="1" applyFont="1" applyFill="1" applyBorder="1" applyAlignment="1">
      <alignment horizontal="center" vertical="center" wrapText="1"/>
    </xf>
    <xf numFmtId="164" fontId="12" fillId="3" borderId="0" xfId="0" applyNumberFormat="1" applyFont="1" applyFill="1" applyBorder="1" applyAlignment="1">
      <alignment vertical="center"/>
    </xf>
    <xf numFmtId="9" fontId="13" fillId="3" borderId="4" xfId="1" applyFont="1" applyFill="1" applyBorder="1" applyAlignment="1">
      <alignment vertical="center" shrinkToFit="1"/>
    </xf>
    <xf numFmtId="9" fontId="13" fillId="3" borderId="5" xfId="1" applyFont="1" applyFill="1" applyBorder="1" applyAlignment="1">
      <alignment vertical="center" shrinkToFit="1"/>
    </xf>
    <xf numFmtId="9" fontId="13" fillId="3" borderId="6" xfId="1" applyFont="1" applyFill="1" applyBorder="1" applyAlignment="1">
      <alignment vertical="center" shrinkToFi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2" borderId="8" xfId="0" applyNumberFormat="1" applyFill="1" applyBorder="1"/>
    <xf numFmtId="0" fontId="8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164" fontId="0" fillId="2" borderId="15" xfId="0" applyNumberFormat="1" applyFill="1" applyBorder="1"/>
    <xf numFmtId="164" fontId="0" fillId="2" borderId="14" xfId="0" applyNumberFormat="1" applyFill="1" applyBorder="1"/>
    <xf numFmtId="164" fontId="1" fillId="2" borderId="0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0" fillId="2" borderId="15" xfId="0" applyFill="1" applyBorder="1"/>
    <xf numFmtId="164" fontId="1" fillId="2" borderId="13" xfId="0" applyNumberFormat="1" applyFont="1" applyFill="1" applyBorder="1" applyAlignment="1">
      <alignment horizontal="center"/>
    </xf>
    <xf numFmtId="0" fontId="0" fillId="2" borderId="14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0" borderId="0" xfId="0" applyFont="1"/>
    <xf numFmtId="164" fontId="1" fillId="0" borderId="0" xfId="0" applyNumberFormat="1" applyFont="1" applyBorder="1" applyAlignment="1">
      <alignment horizontal="center"/>
    </xf>
    <xf numFmtId="0" fontId="8" fillId="4" borderId="0" xfId="0" applyFont="1" applyFill="1" applyBorder="1" applyAlignment="1" applyProtection="1">
      <alignment vertical="center" wrapText="1"/>
    </xf>
    <xf numFmtId="10" fontId="7" fillId="4" borderId="0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left"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2" fontId="0" fillId="3" borderId="0" xfId="0" applyNumberFormat="1" applyFill="1" applyBorder="1"/>
    <xf numFmtId="0" fontId="1" fillId="2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10" fontId="0" fillId="2" borderId="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2" fillId="3" borderId="15" xfId="0" applyNumberFormat="1" applyFont="1" applyFill="1" applyBorder="1" applyAlignment="1">
      <alignment vertical="center"/>
    </xf>
    <xf numFmtId="164" fontId="12" fillId="5" borderId="9" xfId="0" applyNumberFormat="1" applyFont="1" applyFill="1" applyBorder="1" applyAlignment="1">
      <alignment vertical="center"/>
    </xf>
    <xf numFmtId="164" fontId="12" fillId="5" borderId="15" xfId="0" applyNumberFormat="1" applyFont="1" applyFill="1" applyBorder="1" applyAlignment="1">
      <alignment horizontal="center" vertical="center"/>
    </xf>
    <xf numFmtId="164" fontId="12" fillId="5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left" vertical="center"/>
    </xf>
    <xf numFmtId="10" fontId="1" fillId="2" borderId="5" xfId="0" applyNumberFormat="1" applyFont="1" applyFill="1" applyBorder="1" applyAlignment="1">
      <alignment horizontal="left" vertical="center"/>
    </xf>
    <xf numFmtId="10" fontId="1" fillId="2" borderId="6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0" fontId="5" fillId="2" borderId="22" xfId="0" applyNumberFormat="1" applyFont="1" applyFill="1" applyBorder="1" applyAlignment="1">
      <alignment horizontal="center" vertical="center" wrapText="1"/>
    </xf>
    <xf numFmtId="10" fontId="5" fillId="2" borderId="23" xfId="0" applyNumberFormat="1" applyFont="1" applyFill="1" applyBorder="1" applyAlignment="1">
      <alignment horizontal="center" vertical="center" wrapText="1"/>
    </xf>
    <xf numFmtId="164" fontId="12" fillId="5" borderId="10" xfId="0" applyNumberFormat="1" applyFont="1" applyFill="1" applyBorder="1" applyAlignment="1">
      <alignment horizontal="center" vertical="center"/>
    </xf>
    <xf numFmtId="164" fontId="12" fillId="5" borderId="9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90" y="215806"/>
          <a:ext cx="4400361" cy="16253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201706</xdr:colOff>
      <xdr:row>19</xdr:row>
      <xdr:rowOff>179294</xdr:rowOff>
    </xdr:from>
    <xdr:to>
      <xdr:col>7</xdr:col>
      <xdr:colOff>813547</xdr:colOff>
      <xdr:row>38</xdr:row>
      <xdr:rowOff>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824" y="3877235"/>
          <a:ext cx="10428194" cy="3440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1</xdr:col>
      <xdr:colOff>2521323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468" y="379507"/>
          <a:ext cx="1535205" cy="13854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590" y="209456"/>
          <a:ext cx="4574986" cy="15745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1</xdr:col>
      <xdr:colOff>2521323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90" y="215806"/>
          <a:ext cx="4400361" cy="16253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462805</xdr:colOff>
      <xdr:row>1</xdr:row>
      <xdr:rowOff>56029</xdr:rowOff>
    </xdr:from>
    <xdr:to>
      <xdr:col>8</xdr:col>
      <xdr:colOff>448609</xdr:colOff>
      <xdr:row>9</xdr:row>
      <xdr:rowOff>157349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0276" y="246529"/>
          <a:ext cx="4400921" cy="1625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90" y="215806"/>
          <a:ext cx="4400361" cy="16253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="85" zoomScaleNormal="85" workbookViewId="0">
      <selection activeCell="S31" sqref="S31"/>
    </sheetView>
  </sheetViews>
  <sheetFormatPr defaultRowHeight="15" x14ac:dyDescent="0.25"/>
  <cols>
    <col min="2" max="2" width="33.5703125" style="22" customWidth="1"/>
    <col min="3" max="3" width="33.5703125" style="1" customWidth="1"/>
    <col min="4" max="4" width="40" style="19" customWidth="1"/>
    <col min="6" max="6" width="14.7109375" style="26" bestFit="1" customWidth="1"/>
    <col min="7" max="7" width="16.140625" style="6" bestFit="1" customWidth="1"/>
    <col min="8" max="8" width="24.5703125" style="16" bestFit="1" customWidth="1"/>
    <col min="9" max="9" width="12.85546875" style="6" bestFit="1" customWidth="1"/>
    <col min="10" max="10" width="17.7109375" style="7" customWidth="1"/>
  </cols>
  <sheetData>
    <row r="1" spans="1:12" x14ac:dyDescent="0.25">
      <c r="A1" s="200"/>
      <c r="B1" s="200"/>
      <c r="C1" s="200"/>
      <c r="D1" s="200"/>
      <c r="E1" s="200"/>
      <c r="F1" s="200"/>
      <c r="G1" s="200"/>
      <c r="H1" s="200"/>
      <c r="I1" s="200"/>
    </row>
    <row r="2" spans="1:12" x14ac:dyDescent="0.25">
      <c r="A2" s="200"/>
      <c r="B2" s="200"/>
      <c r="C2" s="200"/>
      <c r="D2" s="200"/>
      <c r="E2" s="200"/>
      <c r="F2" s="200"/>
      <c r="G2" s="200"/>
      <c r="H2" s="200"/>
      <c r="I2" s="200"/>
    </row>
    <row r="3" spans="1:12" x14ac:dyDescent="0.25">
      <c r="A3" s="200"/>
      <c r="B3" s="200"/>
      <c r="C3" s="200"/>
      <c r="D3" s="200"/>
      <c r="E3" s="200"/>
      <c r="F3" s="200"/>
      <c r="G3" s="200"/>
      <c r="H3" s="200"/>
      <c r="I3" s="200"/>
    </row>
    <row r="4" spans="1:12" x14ac:dyDescent="0.25">
      <c r="A4" s="200"/>
      <c r="B4" s="200"/>
      <c r="C4" s="200"/>
      <c r="D4" s="200"/>
      <c r="E4" s="200"/>
      <c r="F4" s="200"/>
      <c r="G4" s="200"/>
      <c r="H4" s="200"/>
      <c r="I4" s="200"/>
    </row>
    <row r="5" spans="1:12" x14ac:dyDescent="0.25">
      <c r="A5" s="200"/>
      <c r="B5" s="200"/>
      <c r="C5" s="200"/>
      <c r="D5" s="200"/>
      <c r="E5" s="200"/>
      <c r="F5" s="200"/>
      <c r="G5" s="200"/>
      <c r="H5" s="200"/>
      <c r="I5" s="200"/>
    </row>
    <row r="6" spans="1:12" x14ac:dyDescent="0.25">
      <c r="A6" s="200"/>
      <c r="B6" s="200"/>
      <c r="C6" s="200"/>
      <c r="D6" s="200"/>
      <c r="E6" s="200"/>
      <c r="F6" s="200"/>
      <c r="G6" s="200"/>
      <c r="H6" s="200"/>
      <c r="I6" s="200"/>
    </row>
    <row r="7" spans="1:12" x14ac:dyDescent="0.25">
      <c r="A7" s="200"/>
      <c r="B7" s="200"/>
      <c r="C7" s="200"/>
      <c r="D7" s="200"/>
      <c r="E7" s="200"/>
      <c r="F7" s="200"/>
      <c r="G7" s="200"/>
      <c r="H7" s="200"/>
      <c r="I7" s="200"/>
    </row>
    <row r="8" spans="1:12" x14ac:dyDescent="0.25">
      <c r="A8" s="200"/>
      <c r="B8" s="200"/>
      <c r="C8" s="200"/>
      <c r="D8" s="200"/>
      <c r="E8" s="200"/>
      <c r="F8" s="200"/>
      <c r="G8" s="200"/>
      <c r="H8" s="200"/>
      <c r="I8" s="200"/>
    </row>
    <row r="9" spans="1:12" x14ac:dyDescent="0.25">
      <c r="A9" s="200"/>
      <c r="B9" s="200"/>
      <c r="C9" s="200"/>
      <c r="D9" s="200"/>
      <c r="E9" s="200"/>
      <c r="F9" s="200"/>
      <c r="G9" s="200"/>
      <c r="H9" s="200"/>
      <c r="I9" s="200"/>
    </row>
    <row r="10" spans="1:12" x14ac:dyDescent="0.25">
      <c r="A10" s="200"/>
      <c r="B10" s="200"/>
      <c r="C10" s="200"/>
      <c r="D10" s="200"/>
      <c r="E10" s="200"/>
      <c r="F10" s="200"/>
      <c r="G10" s="200"/>
      <c r="H10" s="200"/>
      <c r="I10" s="200"/>
    </row>
    <row r="11" spans="1:12" x14ac:dyDescent="0.25">
      <c r="A11" s="200"/>
      <c r="B11" s="200"/>
      <c r="C11" s="200"/>
      <c r="D11" s="200"/>
      <c r="E11" s="200"/>
      <c r="F11" s="200"/>
      <c r="G11" s="200"/>
      <c r="H11" s="200"/>
      <c r="I11" s="200"/>
    </row>
    <row r="12" spans="1:12" ht="15" customHeight="1" x14ac:dyDescent="0.25">
      <c r="A12" s="201"/>
      <c r="B12" s="201"/>
      <c r="C12" s="201"/>
      <c r="D12" s="201"/>
      <c r="E12" s="201"/>
      <c r="F12" s="201"/>
      <c r="G12" s="202" t="s">
        <v>45</v>
      </c>
      <c r="H12" s="202"/>
      <c r="I12" s="202"/>
      <c r="J12" s="35"/>
      <c r="K12" s="36"/>
      <c r="L12" s="34"/>
    </row>
    <row r="13" spans="1:12" ht="15" customHeight="1" x14ac:dyDescent="0.25">
      <c r="A13" s="201"/>
      <c r="B13" s="201"/>
      <c r="C13" s="201"/>
      <c r="D13" s="201"/>
      <c r="E13" s="201"/>
      <c r="F13" s="201"/>
      <c r="G13" s="202" t="s">
        <v>193</v>
      </c>
      <c r="H13" s="202"/>
      <c r="I13" s="202"/>
      <c r="J13" s="35"/>
      <c r="K13" s="36"/>
      <c r="L13" s="34"/>
    </row>
    <row r="14" spans="1:12" ht="15" customHeight="1" x14ac:dyDescent="0.25">
      <c r="A14" s="203" t="s">
        <v>29</v>
      </c>
      <c r="B14" s="203"/>
      <c r="C14" s="203"/>
      <c r="D14" s="203"/>
      <c r="E14" s="203"/>
      <c r="F14" s="203"/>
      <c r="G14" s="204" t="s">
        <v>32</v>
      </c>
      <c r="H14" s="197" t="s">
        <v>33</v>
      </c>
      <c r="I14" s="199"/>
      <c r="J14" s="35"/>
      <c r="K14" s="36"/>
      <c r="L14" s="34"/>
    </row>
    <row r="15" spans="1:12" ht="15" customHeight="1" x14ac:dyDescent="0.25">
      <c r="A15" s="203" t="s">
        <v>194</v>
      </c>
      <c r="B15" s="203"/>
      <c r="C15" s="203"/>
      <c r="D15" s="203"/>
      <c r="E15" s="203"/>
      <c r="F15" s="203"/>
      <c r="G15" s="204"/>
      <c r="H15" s="205" t="s">
        <v>34</v>
      </c>
      <c r="I15" s="206"/>
      <c r="J15" s="35"/>
      <c r="K15" s="37"/>
      <c r="L15" s="34"/>
    </row>
    <row r="16" spans="1:12" ht="21" customHeight="1" x14ac:dyDescent="0.35">
      <c r="A16" s="194" t="s">
        <v>31</v>
      </c>
      <c r="B16" s="195"/>
      <c r="C16" s="195"/>
      <c r="D16" s="195"/>
      <c r="E16" s="195"/>
      <c r="F16" s="195"/>
      <c r="G16" s="195"/>
      <c r="H16" s="195"/>
      <c r="I16" s="196"/>
      <c r="J16" s="33"/>
      <c r="K16" s="38"/>
      <c r="L16" s="34"/>
    </row>
    <row r="17" spans="1:14" ht="15" customHeight="1" x14ac:dyDescent="0.35">
      <c r="A17" s="197" t="s">
        <v>195</v>
      </c>
      <c r="B17" s="198"/>
      <c r="C17" s="198"/>
      <c r="D17" s="198"/>
      <c r="E17" s="198"/>
      <c r="F17" s="198"/>
      <c r="G17" s="198"/>
      <c r="H17" s="198"/>
      <c r="I17" s="199"/>
      <c r="J17" s="40"/>
      <c r="K17" s="37"/>
      <c r="L17" s="34"/>
    </row>
    <row r="18" spans="1:14" ht="14.45" x14ac:dyDescent="0.35">
      <c r="A18" s="2" t="s">
        <v>10</v>
      </c>
      <c r="B18" s="11">
        <v>0.22470000000000001</v>
      </c>
      <c r="C18" s="189" t="s">
        <v>35</v>
      </c>
      <c r="D18" s="190"/>
      <c r="E18" s="190"/>
      <c r="F18" s="190"/>
      <c r="G18" s="190"/>
      <c r="H18" s="190"/>
      <c r="I18" s="191"/>
      <c r="J18" s="33"/>
      <c r="K18" s="34"/>
      <c r="L18" s="34"/>
    </row>
    <row r="19" spans="1:14" ht="14.45" x14ac:dyDescent="0.35">
      <c r="A19" s="80"/>
      <c r="B19" s="81"/>
      <c r="C19" s="82"/>
      <c r="D19" s="83"/>
      <c r="E19" s="84"/>
      <c r="F19" s="85"/>
      <c r="G19" s="86"/>
      <c r="H19" s="87"/>
      <c r="I19" s="88"/>
      <c r="J19" s="35"/>
      <c r="K19" s="34"/>
      <c r="L19" s="34"/>
      <c r="M19" s="32"/>
      <c r="N19" s="32"/>
    </row>
    <row r="20" spans="1:14" ht="14.45" x14ac:dyDescent="0.35">
      <c r="A20" s="89"/>
      <c r="B20" s="90"/>
      <c r="C20" s="91"/>
      <c r="D20" s="92"/>
      <c r="E20" s="34"/>
      <c r="F20" s="93"/>
      <c r="G20" s="39"/>
      <c r="H20" s="94"/>
      <c r="I20" s="95"/>
      <c r="M20" s="32"/>
      <c r="N20" s="32"/>
    </row>
    <row r="21" spans="1:14" ht="14.45" x14ac:dyDescent="0.35">
      <c r="A21" s="89"/>
      <c r="B21" s="90"/>
      <c r="C21" s="91"/>
      <c r="D21" s="92"/>
      <c r="E21" s="34"/>
      <c r="F21" s="93"/>
      <c r="G21" s="39"/>
      <c r="H21" s="94"/>
      <c r="I21" s="95"/>
      <c r="M21" s="32"/>
      <c r="N21" s="32"/>
    </row>
    <row r="22" spans="1:14" ht="14.45" x14ac:dyDescent="0.35">
      <c r="A22" s="89"/>
      <c r="B22" s="90"/>
      <c r="C22" s="91"/>
      <c r="D22" s="92"/>
      <c r="E22" s="34"/>
      <c r="F22" s="93"/>
      <c r="G22" s="39"/>
      <c r="H22" s="94"/>
      <c r="I22" s="95"/>
      <c r="M22" s="32"/>
      <c r="N22" s="32"/>
    </row>
    <row r="23" spans="1:14" ht="14.45" x14ac:dyDescent="0.35">
      <c r="A23" s="89"/>
      <c r="B23" s="90"/>
      <c r="C23" s="91"/>
      <c r="D23" s="92"/>
      <c r="E23" s="34"/>
      <c r="F23" s="93"/>
      <c r="G23" s="39"/>
      <c r="H23" s="94"/>
      <c r="I23" s="95"/>
      <c r="M23" s="32"/>
      <c r="N23" s="32"/>
    </row>
    <row r="24" spans="1:14" ht="14.45" x14ac:dyDescent="0.35">
      <c r="A24" s="89"/>
      <c r="B24" s="90"/>
      <c r="C24" s="91"/>
      <c r="D24" s="92"/>
      <c r="E24" s="34"/>
      <c r="F24" s="93"/>
      <c r="G24" s="39"/>
      <c r="H24" s="94"/>
      <c r="I24" s="95"/>
      <c r="M24" s="32"/>
      <c r="N24" s="32"/>
    </row>
    <row r="25" spans="1:14" ht="14.45" x14ac:dyDescent="0.35">
      <c r="A25" s="89"/>
      <c r="B25" s="90"/>
      <c r="C25" s="91"/>
      <c r="D25" s="92"/>
      <c r="E25" s="34"/>
      <c r="F25" s="93"/>
      <c r="G25" s="39"/>
      <c r="H25" s="94"/>
      <c r="I25" s="95"/>
    </row>
    <row r="26" spans="1:14" ht="14.45" x14ac:dyDescent="0.35">
      <c r="A26" s="89"/>
      <c r="B26" s="90"/>
      <c r="C26" s="91"/>
      <c r="D26" s="92"/>
      <c r="E26" s="34"/>
      <c r="F26" s="93"/>
      <c r="G26" s="39"/>
      <c r="H26" s="94"/>
      <c r="I26" s="95"/>
    </row>
    <row r="27" spans="1:14" ht="14.45" x14ac:dyDescent="0.35">
      <c r="A27" s="89"/>
      <c r="B27" s="90"/>
      <c r="C27" s="91"/>
      <c r="D27" s="92"/>
      <c r="E27" s="34"/>
      <c r="F27" s="93"/>
      <c r="G27" s="39"/>
      <c r="H27" s="94"/>
      <c r="I27" s="95"/>
    </row>
    <row r="28" spans="1:14" ht="14.45" x14ac:dyDescent="0.35">
      <c r="A28" s="89"/>
      <c r="B28" s="90"/>
      <c r="C28" s="91"/>
      <c r="D28" s="92"/>
      <c r="E28" s="34"/>
      <c r="F28" s="93"/>
      <c r="G28" s="39"/>
      <c r="H28" s="94"/>
      <c r="I28" s="95"/>
    </row>
    <row r="29" spans="1:14" ht="14.45" x14ac:dyDescent="0.35">
      <c r="A29" s="89"/>
      <c r="B29" s="90"/>
      <c r="C29" s="91"/>
      <c r="D29" s="92"/>
      <c r="E29" s="34"/>
      <c r="F29" s="93"/>
      <c r="G29" s="39"/>
      <c r="H29" s="94"/>
      <c r="I29" s="95"/>
    </row>
    <row r="30" spans="1:14" ht="14.45" x14ac:dyDescent="0.35">
      <c r="A30" s="89"/>
      <c r="B30" s="90"/>
      <c r="C30" s="91"/>
      <c r="D30" s="92"/>
      <c r="E30" s="34"/>
      <c r="F30" s="93"/>
      <c r="G30" s="39"/>
      <c r="H30" s="94"/>
      <c r="I30" s="95"/>
    </row>
    <row r="31" spans="1:14" ht="14.45" x14ac:dyDescent="0.35">
      <c r="A31" s="89"/>
      <c r="B31" s="90"/>
      <c r="C31" s="91"/>
      <c r="D31" s="92"/>
      <c r="E31" s="34"/>
      <c r="F31" s="93"/>
      <c r="G31" s="39"/>
      <c r="H31" s="94"/>
      <c r="I31" s="95"/>
    </row>
    <row r="32" spans="1:14" ht="14.45" x14ac:dyDescent="0.35">
      <c r="A32" s="89"/>
      <c r="B32" s="90"/>
      <c r="C32" s="91"/>
      <c r="D32" s="92"/>
      <c r="E32" s="34"/>
      <c r="F32" s="93"/>
      <c r="G32" s="39"/>
      <c r="H32" s="94"/>
      <c r="I32" s="95"/>
    </row>
    <row r="33" spans="1:11" ht="14.45" x14ac:dyDescent="0.35">
      <c r="A33" s="89"/>
      <c r="B33" s="90"/>
      <c r="C33" s="91"/>
      <c r="D33" s="92"/>
      <c r="E33" s="34"/>
      <c r="F33" s="93"/>
      <c r="G33" s="39"/>
      <c r="H33" s="94"/>
      <c r="I33" s="95"/>
    </row>
    <row r="34" spans="1:11" ht="14.45" x14ac:dyDescent="0.35">
      <c r="A34" s="89"/>
      <c r="B34" s="90"/>
      <c r="C34" s="91"/>
      <c r="D34" s="92"/>
      <c r="E34" s="34"/>
      <c r="F34" s="93"/>
      <c r="G34" s="39"/>
      <c r="H34" s="94"/>
      <c r="I34" s="95"/>
    </row>
    <row r="35" spans="1:11" ht="14.45" x14ac:dyDescent="0.35">
      <c r="A35" s="89"/>
      <c r="B35" s="90"/>
      <c r="C35" s="91"/>
      <c r="D35" s="92"/>
      <c r="E35" s="34"/>
      <c r="F35" s="93"/>
      <c r="G35" s="39"/>
      <c r="H35" s="94"/>
      <c r="I35" s="95"/>
    </row>
    <row r="36" spans="1:11" ht="14.45" x14ac:dyDescent="0.35">
      <c r="A36" s="89"/>
      <c r="B36" s="90"/>
      <c r="C36" s="91"/>
      <c r="D36" s="92"/>
      <c r="E36" s="34"/>
      <c r="F36" s="93"/>
      <c r="G36" s="39"/>
      <c r="H36" s="94"/>
      <c r="I36" s="95"/>
    </row>
    <row r="37" spans="1:11" ht="14.45" x14ac:dyDescent="0.35">
      <c r="A37" s="89"/>
      <c r="B37" s="90"/>
      <c r="C37" s="91"/>
      <c r="D37" s="92"/>
      <c r="E37" s="34"/>
      <c r="F37" s="93"/>
      <c r="G37" s="39"/>
      <c r="H37" s="94"/>
      <c r="I37" s="39"/>
      <c r="J37" s="24"/>
      <c r="K37" s="23"/>
    </row>
    <row r="38" spans="1:11" ht="14.45" x14ac:dyDescent="0.35">
      <c r="A38" s="89"/>
      <c r="B38" s="90"/>
      <c r="C38" s="91"/>
      <c r="D38" s="92"/>
      <c r="E38" s="34"/>
      <c r="F38" s="93"/>
      <c r="G38" s="39"/>
      <c r="H38" s="94"/>
      <c r="I38" s="39"/>
      <c r="J38" s="24"/>
      <c r="K38" s="23"/>
    </row>
    <row r="39" spans="1:11" ht="14.45" x14ac:dyDescent="0.35">
      <c r="A39" s="89"/>
      <c r="B39" s="90"/>
      <c r="C39" s="91"/>
      <c r="D39" s="92"/>
      <c r="E39" s="34"/>
      <c r="F39" s="93"/>
      <c r="G39" s="39"/>
      <c r="H39" s="94"/>
      <c r="I39" s="39"/>
      <c r="J39" s="24"/>
      <c r="K39" s="23"/>
    </row>
    <row r="40" spans="1:11" x14ac:dyDescent="0.25">
      <c r="A40" s="96"/>
      <c r="B40" s="97"/>
      <c r="C40" s="98"/>
      <c r="D40" s="99"/>
      <c r="E40" s="100"/>
      <c r="F40" s="101"/>
      <c r="G40" s="102"/>
      <c r="H40" s="103"/>
      <c r="I40" s="102"/>
      <c r="J40" s="24"/>
      <c r="K40" s="23"/>
    </row>
    <row r="41" spans="1:11" x14ac:dyDescent="0.25">
      <c r="A41" s="48"/>
      <c r="B41" s="49"/>
      <c r="C41" s="50"/>
      <c r="D41" s="51"/>
      <c r="E41" s="52"/>
      <c r="F41" s="53"/>
      <c r="G41" s="54"/>
      <c r="H41" s="55"/>
      <c r="I41" s="54"/>
      <c r="J41" s="24"/>
      <c r="K41" s="23"/>
    </row>
    <row r="42" spans="1:11" ht="15" customHeight="1" x14ac:dyDescent="0.25">
      <c r="A42" s="57"/>
      <c r="B42" s="43" t="s">
        <v>36</v>
      </c>
      <c r="C42" s="44" t="s">
        <v>37</v>
      </c>
      <c r="D42" s="58"/>
      <c r="E42" s="193" t="s">
        <v>38</v>
      </c>
      <c r="F42" s="193"/>
      <c r="G42" s="193"/>
      <c r="H42" s="193"/>
      <c r="I42" s="45"/>
      <c r="J42" s="104"/>
      <c r="K42" s="23"/>
    </row>
    <row r="43" spans="1:11" ht="15" customHeight="1" x14ac:dyDescent="0.25">
      <c r="A43" s="57"/>
      <c r="B43" s="60" t="s">
        <v>39</v>
      </c>
      <c r="C43" s="44" t="s">
        <v>40</v>
      </c>
      <c r="D43" s="58"/>
      <c r="E43" s="46" t="s">
        <v>41</v>
      </c>
      <c r="F43" s="192" t="s">
        <v>42</v>
      </c>
      <c r="G43" s="192"/>
      <c r="H43" s="192"/>
      <c r="I43" s="47"/>
      <c r="J43" s="105"/>
      <c r="K43" s="23"/>
    </row>
    <row r="44" spans="1:11" ht="15" customHeight="1" x14ac:dyDescent="0.25">
      <c r="A44" s="62"/>
      <c r="B44" s="60"/>
      <c r="C44" s="63"/>
      <c r="D44" s="58"/>
      <c r="E44" s="46" t="s">
        <v>43</v>
      </c>
      <c r="F44" s="192" t="s">
        <v>44</v>
      </c>
      <c r="G44" s="192"/>
      <c r="H44" s="192"/>
      <c r="I44" s="47"/>
      <c r="J44" s="105"/>
      <c r="K44" s="23"/>
    </row>
    <row r="45" spans="1:11" x14ac:dyDescent="0.25">
      <c r="A45" s="57"/>
      <c r="B45" s="64"/>
      <c r="C45" s="65"/>
      <c r="D45" s="58"/>
      <c r="E45" s="66"/>
      <c r="F45" s="67"/>
      <c r="G45" s="68"/>
      <c r="H45" s="69"/>
      <c r="I45" s="68"/>
      <c r="J45" s="24"/>
      <c r="K45" s="23"/>
    </row>
    <row r="46" spans="1:11" x14ac:dyDescent="0.25">
      <c r="A46" s="57"/>
      <c r="B46" s="64"/>
      <c r="C46" s="65"/>
      <c r="D46" s="58"/>
      <c r="E46" s="66"/>
      <c r="F46" s="67"/>
      <c r="G46" s="68"/>
      <c r="H46" s="69"/>
      <c r="I46" s="68"/>
      <c r="J46" s="24"/>
      <c r="K46" s="23"/>
    </row>
    <row r="47" spans="1:11" x14ac:dyDescent="0.25">
      <c r="A47" s="71"/>
      <c r="B47" s="72"/>
      <c r="C47" s="73"/>
      <c r="D47" s="74"/>
      <c r="E47" s="75"/>
      <c r="F47" s="76"/>
      <c r="G47" s="77"/>
      <c r="H47" s="78"/>
      <c r="I47" s="79"/>
    </row>
  </sheetData>
  <mergeCells count="15">
    <mergeCell ref="A1:I11"/>
    <mergeCell ref="A12:F13"/>
    <mergeCell ref="G12:I12"/>
    <mergeCell ref="G13:I13"/>
    <mergeCell ref="A14:F14"/>
    <mergeCell ref="G14:G15"/>
    <mergeCell ref="H14:I14"/>
    <mergeCell ref="A15:F15"/>
    <mergeCell ref="H15:I15"/>
    <mergeCell ref="C18:I18"/>
    <mergeCell ref="F43:H43"/>
    <mergeCell ref="E42:H42"/>
    <mergeCell ref="F44:H44"/>
    <mergeCell ref="A16:I16"/>
    <mergeCell ref="A17:I17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1"/>
  <sheetViews>
    <sheetView zoomScale="70" zoomScaleNormal="70" workbookViewId="0">
      <selection sqref="A1:H581"/>
    </sheetView>
  </sheetViews>
  <sheetFormatPr defaultRowHeight="15" x14ac:dyDescent="0.25"/>
  <cols>
    <col min="1" max="1" width="8.7109375" style="136"/>
    <col min="2" max="2" width="38.42578125" style="22" bestFit="1" customWidth="1"/>
    <col min="3" max="3" width="33.5703125" style="1" customWidth="1"/>
    <col min="4" max="4" width="40" style="19" customWidth="1"/>
    <col min="6" max="6" width="14.7109375" style="26" bestFit="1" customWidth="1"/>
    <col min="7" max="7" width="43.140625" style="119" customWidth="1"/>
    <col min="8" max="8" width="24.5703125" style="16" bestFit="1" customWidth="1"/>
    <col min="9" max="9" width="17.7109375" style="7" customWidth="1"/>
    <col min="10" max="10" width="12.85546875" bestFit="1" customWidth="1"/>
  </cols>
  <sheetData>
    <row r="1" spans="1:11" x14ac:dyDescent="0.25">
      <c r="A1" s="200"/>
      <c r="B1" s="200"/>
      <c r="C1" s="200"/>
      <c r="D1" s="200"/>
      <c r="E1" s="200"/>
      <c r="F1" s="200"/>
      <c r="G1" s="200"/>
      <c r="H1" s="200"/>
    </row>
    <row r="2" spans="1:11" x14ac:dyDescent="0.25">
      <c r="A2" s="200"/>
      <c r="B2" s="200"/>
      <c r="C2" s="200"/>
      <c r="D2" s="200"/>
      <c r="E2" s="200"/>
      <c r="F2" s="200"/>
      <c r="G2" s="200"/>
      <c r="H2" s="200"/>
    </row>
    <row r="3" spans="1:11" x14ac:dyDescent="0.25">
      <c r="A3" s="200"/>
      <c r="B3" s="200"/>
      <c r="C3" s="200"/>
      <c r="D3" s="200"/>
      <c r="E3" s="200"/>
      <c r="F3" s="200"/>
      <c r="G3" s="200"/>
      <c r="H3" s="200"/>
    </row>
    <row r="4" spans="1:11" x14ac:dyDescent="0.25">
      <c r="A4" s="200"/>
      <c r="B4" s="200"/>
      <c r="C4" s="200"/>
      <c r="D4" s="200"/>
      <c r="E4" s="200"/>
      <c r="F4" s="200"/>
      <c r="G4" s="200"/>
      <c r="H4" s="200"/>
    </row>
    <row r="5" spans="1:11" x14ac:dyDescent="0.25">
      <c r="A5" s="200"/>
      <c r="B5" s="200"/>
      <c r="C5" s="200"/>
      <c r="D5" s="200"/>
      <c r="E5" s="200"/>
      <c r="F5" s="200"/>
      <c r="G5" s="200"/>
      <c r="H5" s="200"/>
    </row>
    <row r="6" spans="1:11" x14ac:dyDescent="0.25">
      <c r="A6" s="200"/>
      <c r="B6" s="200"/>
      <c r="C6" s="200"/>
      <c r="D6" s="200"/>
      <c r="E6" s="200"/>
      <c r="F6" s="200"/>
      <c r="G6" s="200"/>
      <c r="H6" s="200"/>
    </row>
    <row r="7" spans="1:11" x14ac:dyDescent="0.25">
      <c r="A7" s="200"/>
      <c r="B7" s="200"/>
      <c r="C7" s="200"/>
      <c r="D7" s="200"/>
      <c r="E7" s="200"/>
      <c r="F7" s="200"/>
      <c r="G7" s="200"/>
      <c r="H7" s="200"/>
    </row>
    <row r="8" spans="1:11" x14ac:dyDescent="0.25">
      <c r="A8" s="200"/>
      <c r="B8" s="200"/>
      <c r="C8" s="200"/>
      <c r="D8" s="200"/>
      <c r="E8" s="200"/>
      <c r="F8" s="200"/>
      <c r="G8" s="200"/>
      <c r="H8" s="200"/>
    </row>
    <row r="9" spans="1:11" x14ac:dyDescent="0.25">
      <c r="A9" s="200"/>
      <c r="B9" s="200"/>
      <c r="C9" s="200"/>
      <c r="D9" s="200"/>
      <c r="E9" s="200"/>
      <c r="F9" s="200"/>
      <c r="G9" s="200"/>
      <c r="H9" s="200"/>
    </row>
    <row r="10" spans="1:11" x14ac:dyDescent="0.25">
      <c r="A10" s="200"/>
      <c r="B10" s="200"/>
      <c r="C10" s="200"/>
      <c r="D10" s="200"/>
      <c r="E10" s="200"/>
      <c r="F10" s="200"/>
      <c r="G10" s="200"/>
      <c r="H10" s="200"/>
    </row>
    <row r="11" spans="1:11" x14ac:dyDescent="0.25">
      <c r="A11" s="200"/>
      <c r="B11" s="200"/>
      <c r="C11" s="200"/>
      <c r="D11" s="200"/>
      <c r="E11" s="200"/>
      <c r="F11" s="200"/>
      <c r="G11" s="200"/>
      <c r="H11" s="200"/>
    </row>
    <row r="12" spans="1:11" ht="15" customHeight="1" x14ac:dyDescent="0.25">
      <c r="A12" s="201"/>
      <c r="B12" s="201"/>
      <c r="C12" s="201"/>
      <c r="D12" s="201"/>
      <c r="E12" s="201"/>
      <c r="F12" s="201"/>
      <c r="G12" s="202" t="s">
        <v>30</v>
      </c>
      <c r="H12" s="202"/>
      <c r="I12" s="35"/>
      <c r="J12" s="36"/>
      <c r="K12" s="34"/>
    </row>
    <row r="13" spans="1:11" ht="15" customHeight="1" x14ac:dyDescent="0.25">
      <c r="A13" s="201"/>
      <c r="B13" s="201"/>
      <c r="C13" s="201"/>
      <c r="D13" s="201"/>
      <c r="E13" s="201"/>
      <c r="F13" s="201"/>
      <c r="G13" s="202" t="s">
        <v>193</v>
      </c>
      <c r="H13" s="202"/>
      <c r="I13" s="35"/>
      <c r="J13" s="36"/>
      <c r="K13" s="34"/>
    </row>
    <row r="14" spans="1:11" ht="15" customHeight="1" x14ac:dyDescent="0.25">
      <c r="A14" s="203" t="s">
        <v>29</v>
      </c>
      <c r="B14" s="203"/>
      <c r="C14" s="203"/>
      <c r="D14" s="203"/>
      <c r="E14" s="203"/>
      <c r="F14" s="203"/>
      <c r="G14" s="204" t="s">
        <v>32</v>
      </c>
      <c r="H14" s="158" t="s">
        <v>33</v>
      </c>
      <c r="I14" s="35"/>
      <c r="J14" s="36"/>
      <c r="K14" s="34"/>
    </row>
    <row r="15" spans="1:11" ht="15" customHeight="1" x14ac:dyDescent="0.25">
      <c r="A15" s="203" t="s">
        <v>192</v>
      </c>
      <c r="B15" s="203"/>
      <c r="C15" s="203"/>
      <c r="D15" s="203"/>
      <c r="E15" s="203"/>
      <c r="F15" s="203"/>
      <c r="G15" s="204"/>
      <c r="H15" s="159" t="s">
        <v>34</v>
      </c>
      <c r="I15" s="35"/>
      <c r="J15" s="37"/>
      <c r="K15" s="34"/>
    </row>
    <row r="16" spans="1:11" ht="21" customHeight="1" x14ac:dyDescent="0.35">
      <c r="A16" s="203" t="s">
        <v>31</v>
      </c>
      <c r="B16" s="203"/>
      <c r="C16" s="203"/>
      <c r="D16" s="203"/>
      <c r="E16" s="203"/>
      <c r="F16" s="203"/>
      <c r="G16" s="203"/>
      <c r="H16" s="203"/>
      <c r="I16" s="35"/>
      <c r="J16" s="38"/>
      <c r="K16" s="34"/>
    </row>
    <row r="17" spans="1:11" ht="15" customHeight="1" x14ac:dyDescent="0.35">
      <c r="A17" s="202" t="s">
        <v>195</v>
      </c>
      <c r="B17" s="202"/>
      <c r="C17" s="202"/>
      <c r="D17" s="202"/>
      <c r="E17" s="202"/>
      <c r="F17" s="202"/>
      <c r="G17" s="202"/>
      <c r="H17" s="202"/>
      <c r="I17" s="37"/>
      <c r="J17" s="37"/>
      <c r="K17" s="34"/>
    </row>
    <row r="18" spans="1:11" ht="14.45" x14ac:dyDescent="0.35">
      <c r="A18" s="2" t="s">
        <v>10</v>
      </c>
      <c r="B18" s="167">
        <v>0.22470000000000001</v>
      </c>
      <c r="C18" s="168"/>
      <c r="D18" s="169"/>
      <c r="E18" s="2"/>
      <c r="F18" s="170"/>
      <c r="G18" s="165"/>
      <c r="H18" s="171"/>
      <c r="I18" s="35"/>
      <c r="J18" s="34"/>
      <c r="K18" s="34"/>
    </row>
    <row r="19" spans="1:11" x14ac:dyDescent="0.25">
      <c r="A19" s="172" t="s">
        <v>0</v>
      </c>
      <c r="B19" s="173" t="s">
        <v>1</v>
      </c>
      <c r="C19" s="164" t="s">
        <v>11</v>
      </c>
      <c r="D19" s="169" t="s">
        <v>2</v>
      </c>
      <c r="E19" s="172" t="s">
        <v>3</v>
      </c>
      <c r="F19" s="174" t="s">
        <v>4</v>
      </c>
      <c r="G19" s="165" t="s">
        <v>52</v>
      </c>
      <c r="H19" s="175" t="s">
        <v>1</v>
      </c>
      <c r="I19" s="35"/>
      <c r="J19" s="34"/>
      <c r="K19" s="34"/>
    </row>
    <row r="20" spans="1:11" ht="45" customHeight="1" x14ac:dyDescent="0.35">
      <c r="A20" s="164">
        <v>1</v>
      </c>
      <c r="B20" s="213" t="s">
        <v>83</v>
      </c>
      <c r="C20" s="213"/>
      <c r="D20" s="213"/>
      <c r="E20" s="213"/>
      <c r="F20" s="213"/>
      <c r="G20" s="213"/>
      <c r="H20" s="213"/>
      <c r="I20" s="35"/>
      <c r="J20" s="34"/>
      <c r="K20" s="34"/>
    </row>
    <row r="21" spans="1:11" x14ac:dyDescent="0.25">
      <c r="A21" s="164">
        <v>2</v>
      </c>
      <c r="B21" s="212" t="s">
        <v>156</v>
      </c>
      <c r="C21" s="212"/>
      <c r="D21" s="212"/>
      <c r="E21" s="212"/>
      <c r="F21" s="212"/>
      <c r="G21" s="212"/>
      <c r="H21" s="212"/>
      <c r="I21" s="35"/>
      <c r="J21" s="34"/>
      <c r="K21" s="34"/>
    </row>
    <row r="22" spans="1:11" ht="30" x14ac:dyDescent="0.25">
      <c r="A22" s="164">
        <v>3</v>
      </c>
      <c r="B22" s="112"/>
      <c r="C22" s="150" t="s">
        <v>155</v>
      </c>
      <c r="D22" s="176" t="s">
        <v>154</v>
      </c>
      <c r="E22" s="112" t="s">
        <v>8</v>
      </c>
      <c r="F22" s="112">
        <v>2.88</v>
      </c>
      <c r="G22" s="160">
        <v>2.88</v>
      </c>
      <c r="H22" s="13" t="s">
        <v>196</v>
      </c>
      <c r="I22" s="35"/>
      <c r="J22" s="34"/>
      <c r="K22" s="34"/>
    </row>
    <row r="23" spans="1:11" x14ac:dyDescent="0.25">
      <c r="A23" s="164">
        <v>4</v>
      </c>
      <c r="B23" s="212" t="s">
        <v>82</v>
      </c>
      <c r="C23" s="212"/>
      <c r="D23" s="212"/>
      <c r="E23" s="212"/>
      <c r="F23" s="212"/>
      <c r="G23" s="212"/>
      <c r="H23" s="212"/>
      <c r="I23" s="35"/>
      <c r="J23" s="34"/>
      <c r="K23" s="34"/>
    </row>
    <row r="24" spans="1:11" ht="45" x14ac:dyDescent="0.25">
      <c r="A24" s="164">
        <v>5</v>
      </c>
      <c r="B24" s="154" t="s">
        <v>105</v>
      </c>
      <c r="C24" s="144" t="s">
        <v>67</v>
      </c>
      <c r="D24" s="177" t="s">
        <v>66</v>
      </c>
      <c r="E24" s="112" t="s">
        <v>8</v>
      </c>
      <c r="F24" s="20">
        <v>118.64</v>
      </c>
      <c r="G24" s="21">
        <v>118.64</v>
      </c>
      <c r="H24" s="13" t="s">
        <v>196</v>
      </c>
      <c r="I24" s="35"/>
      <c r="J24" s="34"/>
      <c r="K24" s="34"/>
    </row>
    <row r="25" spans="1:11" ht="45" x14ac:dyDescent="0.25">
      <c r="A25" s="164">
        <v>6</v>
      </c>
      <c r="B25" s="154" t="s">
        <v>106</v>
      </c>
      <c r="C25" s="144" t="s">
        <v>67</v>
      </c>
      <c r="D25" s="177" t="s">
        <v>66</v>
      </c>
      <c r="E25" s="112" t="s">
        <v>8</v>
      </c>
      <c r="F25" s="20">
        <v>113.9</v>
      </c>
      <c r="G25" s="21">
        <v>113.9</v>
      </c>
      <c r="H25" s="13" t="s">
        <v>196</v>
      </c>
      <c r="I25" s="35"/>
      <c r="J25" s="34"/>
      <c r="K25" s="34"/>
    </row>
    <row r="26" spans="1:11" ht="45" x14ac:dyDescent="0.25">
      <c r="A26" s="164">
        <v>7</v>
      </c>
      <c r="B26" s="154" t="s">
        <v>107</v>
      </c>
      <c r="C26" s="144" t="s">
        <v>67</v>
      </c>
      <c r="D26" s="177" t="s">
        <v>66</v>
      </c>
      <c r="E26" s="112" t="s">
        <v>8</v>
      </c>
      <c r="F26" s="20">
        <v>40.6</v>
      </c>
      <c r="G26" s="21">
        <v>40.6</v>
      </c>
      <c r="H26" s="13" t="s">
        <v>196</v>
      </c>
      <c r="I26" s="35"/>
      <c r="J26" s="34"/>
      <c r="K26" s="34"/>
    </row>
    <row r="27" spans="1:11" ht="45" x14ac:dyDescent="0.25">
      <c r="A27" s="164">
        <v>8</v>
      </c>
      <c r="B27" s="154" t="s">
        <v>108</v>
      </c>
      <c r="C27" s="144" t="s">
        <v>67</v>
      </c>
      <c r="D27" s="177" t="s">
        <v>66</v>
      </c>
      <c r="E27" s="112" t="s">
        <v>8</v>
      </c>
      <c r="F27" s="20">
        <v>93.31</v>
      </c>
      <c r="G27" s="21">
        <v>93.31</v>
      </c>
      <c r="H27" s="13" t="s">
        <v>196</v>
      </c>
      <c r="I27" s="35"/>
      <c r="J27" s="34"/>
      <c r="K27" s="34"/>
    </row>
    <row r="28" spans="1:11" ht="45" x14ac:dyDescent="0.25">
      <c r="A28" s="164">
        <v>9</v>
      </c>
      <c r="B28" s="154" t="s">
        <v>109</v>
      </c>
      <c r="C28" s="144" t="s">
        <v>67</v>
      </c>
      <c r="D28" s="177" t="s">
        <v>66</v>
      </c>
      <c r="E28" s="112" t="s">
        <v>8</v>
      </c>
      <c r="F28" s="20">
        <v>130.69</v>
      </c>
      <c r="G28" s="21">
        <v>130.69</v>
      </c>
      <c r="H28" s="13" t="s">
        <v>196</v>
      </c>
      <c r="I28" s="35"/>
      <c r="J28" s="34"/>
      <c r="K28" s="34"/>
    </row>
    <row r="29" spans="1:11" ht="45" x14ac:dyDescent="0.25">
      <c r="A29" s="164">
        <v>10</v>
      </c>
      <c r="B29" s="154" t="s">
        <v>140</v>
      </c>
      <c r="C29" s="144" t="s">
        <v>67</v>
      </c>
      <c r="D29" s="177" t="s">
        <v>66</v>
      </c>
      <c r="E29" s="112" t="s">
        <v>8</v>
      </c>
      <c r="F29" s="20">
        <v>41.4</v>
      </c>
      <c r="G29" s="21">
        <v>41.4</v>
      </c>
      <c r="H29" s="13" t="s">
        <v>196</v>
      </c>
      <c r="I29" s="35"/>
      <c r="J29" s="34"/>
      <c r="K29" s="34"/>
    </row>
    <row r="30" spans="1:11" ht="45" x14ac:dyDescent="0.25">
      <c r="A30" s="164">
        <v>11</v>
      </c>
      <c r="B30" s="154" t="s">
        <v>141</v>
      </c>
      <c r="C30" s="144" t="s">
        <v>67</v>
      </c>
      <c r="D30" s="177" t="s">
        <v>66</v>
      </c>
      <c r="E30" s="112" t="s">
        <v>8</v>
      </c>
      <c r="F30" s="20">
        <v>38.590000000000003</v>
      </c>
      <c r="G30" s="21">
        <v>38.590000000000003</v>
      </c>
      <c r="H30" s="13" t="s">
        <v>196</v>
      </c>
      <c r="I30" s="35"/>
      <c r="J30" s="34"/>
      <c r="K30" s="34"/>
    </row>
    <row r="31" spans="1:11" ht="45" x14ac:dyDescent="0.25">
      <c r="A31" s="164">
        <v>12</v>
      </c>
      <c r="B31" s="154" t="s">
        <v>142</v>
      </c>
      <c r="C31" s="144" t="s">
        <v>67</v>
      </c>
      <c r="D31" s="177" t="s">
        <v>66</v>
      </c>
      <c r="E31" s="112" t="s">
        <v>8</v>
      </c>
      <c r="F31" s="20">
        <v>41.49</v>
      </c>
      <c r="G31" s="21">
        <v>41.49</v>
      </c>
      <c r="H31" s="13" t="s">
        <v>196</v>
      </c>
      <c r="I31" s="35"/>
      <c r="J31" s="34"/>
      <c r="K31" s="34"/>
    </row>
    <row r="32" spans="1:11" ht="45" x14ac:dyDescent="0.25">
      <c r="A32" s="164">
        <v>13</v>
      </c>
      <c r="B32" s="154" t="s">
        <v>140</v>
      </c>
      <c r="C32" s="144" t="s">
        <v>101</v>
      </c>
      <c r="D32" s="177" t="s">
        <v>102</v>
      </c>
      <c r="E32" s="112" t="s">
        <v>8</v>
      </c>
      <c r="F32" s="20">
        <v>41.4</v>
      </c>
      <c r="G32" s="21">
        <v>41.4</v>
      </c>
      <c r="H32" s="13" t="s">
        <v>196</v>
      </c>
      <c r="I32" s="35"/>
      <c r="J32" s="34"/>
      <c r="K32" s="34"/>
    </row>
    <row r="33" spans="1:11" ht="45" x14ac:dyDescent="0.25">
      <c r="A33" s="164">
        <v>14</v>
      </c>
      <c r="B33" s="154" t="s">
        <v>141</v>
      </c>
      <c r="C33" s="144" t="s">
        <v>101</v>
      </c>
      <c r="D33" s="177" t="s">
        <v>102</v>
      </c>
      <c r="E33" s="112" t="s">
        <v>8</v>
      </c>
      <c r="F33" s="20">
        <v>38.590000000000003</v>
      </c>
      <c r="G33" s="21">
        <v>38.590000000000003</v>
      </c>
      <c r="H33" s="13" t="s">
        <v>196</v>
      </c>
      <c r="I33" s="35"/>
      <c r="J33" s="34"/>
      <c r="K33" s="34"/>
    </row>
    <row r="34" spans="1:11" ht="45" x14ac:dyDescent="0.25">
      <c r="A34" s="164">
        <v>15</v>
      </c>
      <c r="B34" s="154" t="s">
        <v>142</v>
      </c>
      <c r="C34" s="144" t="s">
        <v>101</v>
      </c>
      <c r="D34" s="177" t="s">
        <v>102</v>
      </c>
      <c r="E34" s="112" t="s">
        <v>8</v>
      </c>
      <c r="F34" s="20">
        <v>41.49</v>
      </c>
      <c r="G34" s="21">
        <v>41.49</v>
      </c>
      <c r="H34" s="13" t="s">
        <v>196</v>
      </c>
      <c r="I34" s="35"/>
      <c r="J34" s="34"/>
      <c r="K34" s="34"/>
    </row>
    <row r="35" spans="1:11" ht="45" x14ac:dyDescent="0.25">
      <c r="A35" s="164">
        <v>16</v>
      </c>
      <c r="B35" s="154" t="s">
        <v>114</v>
      </c>
      <c r="C35" s="144" t="s">
        <v>85</v>
      </c>
      <c r="D35" s="177" t="s">
        <v>84</v>
      </c>
      <c r="E35" s="112" t="s">
        <v>8</v>
      </c>
      <c r="F35" s="20">
        <v>48.06</v>
      </c>
      <c r="G35" s="21">
        <v>48.06</v>
      </c>
      <c r="H35" s="13" t="s">
        <v>196</v>
      </c>
      <c r="I35" s="35"/>
      <c r="J35" s="34"/>
      <c r="K35" s="34"/>
    </row>
    <row r="36" spans="1:11" ht="51" customHeight="1" x14ac:dyDescent="0.25">
      <c r="A36" s="164">
        <v>17</v>
      </c>
      <c r="B36" s="154" t="s">
        <v>114</v>
      </c>
      <c r="C36" s="144" t="s">
        <v>86</v>
      </c>
      <c r="D36" s="177" t="s">
        <v>87</v>
      </c>
      <c r="E36" s="112" t="s">
        <v>8</v>
      </c>
      <c r="F36" s="20">
        <v>48.06</v>
      </c>
      <c r="G36" s="21">
        <v>48.06</v>
      </c>
      <c r="H36" s="13" t="s">
        <v>196</v>
      </c>
      <c r="I36" s="35"/>
      <c r="J36" s="34"/>
      <c r="K36" s="34"/>
    </row>
    <row r="37" spans="1:11" ht="51" customHeight="1" x14ac:dyDescent="0.25">
      <c r="A37" s="164">
        <v>18</v>
      </c>
      <c r="B37" s="154" t="s">
        <v>115</v>
      </c>
      <c r="C37" s="144" t="s">
        <v>85</v>
      </c>
      <c r="D37" s="177" t="s">
        <v>84</v>
      </c>
      <c r="E37" s="112" t="s">
        <v>8</v>
      </c>
      <c r="F37" s="20">
        <v>47.76</v>
      </c>
      <c r="G37" s="21">
        <v>47.76</v>
      </c>
      <c r="H37" s="13" t="s">
        <v>196</v>
      </c>
      <c r="I37" s="35"/>
      <c r="J37" s="34"/>
      <c r="K37" s="34"/>
    </row>
    <row r="38" spans="1:11" ht="51" customHeight="1" x14ac:dyDescent="0.25">
      <c r="A38" s="164">
        <v>19</v>
      </c>
      <c r="B38" s="154" t="s">
        <v>115</v>
      </c>
      <c r="C38" s="144" t="s">
        <v>86</v>
      </c>
      <c r="D38" s="177" t="s">
        <v>87</v>
      </c>
      <c r="E38" s="112" t="s">
        <v>8</v>
      </c>
      <c r="F38" s="20">
        <v>47.76</v>
      </c>
      <c r="G38" s="21">
        <v>47.76</v>
      </c>
      <c r="H38" s="13" t="s">
        <v>196</v>
      </c>
      <c r="I38" s="35"/>
      <c r="J38" s="34"/>
      <c r="K38" s="34"/>
    </row>
    <row r="39" spans="1:11" ht="51" customHeight="1" x14ac:dyDescent="0.25">
      <c r="A39" s="164">
        <v>20</v>
      </c>
      <c r="B39" s="154" t="s">
        <v>103</v>
      </c>
      <c r="C39" s="144" t="s">
        <v>85</v>
      </c>
      <c r="D39" s="177" t="s">
        <v>84</v>
      </c>
      <c r="E39" s="112" t="s">
        <v>8</v>
      </c>
      <c r="F39" s="20">
        <v>51.6</v>
      </c>
      <c r="G39" s="21">
        <v>51.6</v>
      </c>
      <c r="H39" s="13" t="s">
        <v>196</v>
      </c>
      <c r="I39" s="35"/>
      <c r="J39" s="34"/>
      <c r="K39" s="34"/>
    </row>
    <row r="40" spans="1:11" ht="51" customHeight="1" x14ac:dyDescent="0.25">
      <c r="A40" s="164">
        <v>21</v>
      </c>
      <c r="B40" s="154" t="s">
        <v>103</v>
      </c>
      <c r="C40" s="144" t="s">
        <v>86</v>
      </c>
      <c r="D40" s="177" t="s">
        <v>87</v>
      </c>
      <c r="E40" s="112" t="s">
        <v>8</v>
      </c>
      <c r="F40" s="20">
        <v>51.6</v>
      </c>
      <c r="G40" s="21">
        <v>51.6</v>
      </c>
      <c r="H40" s="13" t="s">
        <v>196</v>
      </c>
      <c r="I40" s="35"/>
      <c r="J40" s="34"/>
      <c r="K40" s="34"/>
    </row>
    <row r="41" spans="1:11" ht="51" customHeight="1" x14ac:dyDescent="0.25">
      <c r="A41" s="164">
        <v>22</v>
      </c>
      <c r="B41" s="154" t="s">
        <v>116</v>
      </c>
      <c r="C41" s="144" t="s">
        <v>85</v>
      </c>
      <c r="D41" s="177" t="s">
        <v>84</v>
      </c>
      <c r="E41" s="112" t="s">
        <v>8</v>
      </c>
      <c r="F41" s="20">
        <v>51.6</v>
      </c>
      <c r="G41" s="21">
        <v>51.6</v>
      </c>
      <c r="H41" s="13" t="s">
        <v>196</v>
      </c>
      <c r="I41" s="35"/>
      <c r="J41" s="34"/>
      <c r="K41" s="34"/>
    </row>
    <row r="42" spans="1:11" ht="51" customHeight="1" x14ac:dyDescent="0.25">
      <c r="A42" s="164">
        <v>23</v>
      </c>
      <c r="B42" s="154" t="s">
        <v>116</v>
      </c>
      <c r="C42" s="144" t="s">
        <v>86</v>
      </c>
      <c r="D42" s="177" t="s">
        <v>87</v>
      </c>
      <c r="E42" s="112" t="s">
        <v>8</v>
      </c>
      <c r="F42" s="20">
        <v>51.6</v>
      </c>
      <c r="G42" s="21">
        <v>51.6</v>
      </c>
      <c r="H42" s="13" t="s">
        <v>196</v>
      </c>
      <c r="I42" s="35"/>
      <c r="J42" s="34"/>
      <c r="K42" s="34"/>
    </row>
    <row r="43" spans="1:11" ht="51" customHeight="1" x14ac:dyDescent="0.25">
      <c r="A43" s="164">
        <v>24</v>
      </c>
      <c r="B43" s="154" t="s">
        <v>164</v>
      </c>
      <c r="C43" s="144" t="s">
        <v>85</v>
      </c>
      <c r="D43" s="177" t="s">
        <v>84</v>
      </c>
      <c r="E43" s="112" t="s">
        <v>8</v>
      </c>
      <c r="F43" s="20">
        <v>6.48</v>
      </c>
      <c r="G43" s="21">
        <v>6.48</v>
      </c>
      <c r="H43" s="13" t="s">
        <v>196</v>
      </c>
      <c r="I43" s="35"/>
      <c r="J43" s="34"/>
      <c r="K43" s="34"/>
    </row>
    <row r="44" spans="1:11" ht="51" customHeight="1" x14ac:dyDescent="0.25">
      <c r="A44" s="164">
        <v>25</v>
      </c>
      <c r="B44" s="154" t="s">
        <v>164</v>
      </c>
      <c r="C44" s="144" t="s">
        <v>86</v>
      </c>
      <c r="D44" s="177" t="s">
        <v>87</v>
      </c>
      <c r="E44" s="112" t="s">
        <v>8</v>
      </c>
      <c r="F44" s="20">
        <v>6.48</v>
      </c>
      <c r="G44" s="21">
        <v>6.48</v>
      </c>
      <c r="H44" s="13" t="s">
        <v>196</v>
      </c>
      <c r="I44" s="35"/>
      <c r="J44" s="34"/>
      <c r="K44" s="34"/>
    </row>
    <row r="45" spans="1:11" ht="45" x14ac:dyDescent="0.25">
      <c r="A45" s="164">
        <v>26</v>
      </c>
      <c r="B45" s="163" t="s">
        <v>143</v>
      </c>
      <c r="C45" s="144" t="s">
        <v>88</v>
      </c>
      <c r="D45" s="177" t="s">
        <v>90</v>
      </c>
      <c r="E45" s="112" t="s">
        <v>89</v>
      </c>
      <c r="F45" s="20">
        <f>2*(2*0.28*3.9)-(0.8*2.1)-(1.6*1.5)</f>
        <v>0.28799999999999981</v>
      </c>
      <c r="G45" s="21" t="s">
        <v>197</v>
      </c>
      <c r="H45" s="13" t="s">
        <v>201</v>
      </c>
      <c r="I45" s="35"/>
      <c r="J45" s="34"/>
      <c r="K45" s="34"/>
    </row>
    <row r="46" spans="1:11" ht="30" x14ac:dyDescent="0.25">
      <c r="A46" s="164">
        <v>27</v>
      </c>
      <c r="B46" s="154" t="s">
        <v>144</v>
      </c>
      <c r="C46" s="144" t="s">
        <v>91</v>
      </c>
      <c r="D46" s="177" t="s">
        <v>92</v>
      </c>
      <c r="E46" s="112" t="s">
        <v>8</v>
      </c>
      <c r="F46" s="20">
        <f>0.8*2.1</f>
        <v>1.6800000000000002</v>
      </c>
      <c r="G46" s="21" t="s">
        <v>198</v>
      </c>
      <c r="H46" s="13" t="s">
        <v>196</v>
      </c>
      <c r="I46" s="35"/>
      <c r="J46" s="34"/>
      <c r="K46" s="34"/>
    </row>
    <row r="47" spans="1:11" ht="30" x14ac:dyDescent="0.25">
      <c r="A47" s="164">
        <v>28</v>
      </c>
      <c r="B47" s="154" t="s">
        <v>145</v>
      </c>
      <c r="C47" s="144" t="s">
        <v>91</v>
      </c>
      <c r="D47" s="177" t="s">
        <v>92</v>
      </c>
      <c r="E47" s="112" t="s">
        <v>8</v>
      </c>
      <c r="F47" s="20">
        <f>2.5*1.5</f>
        <v>3.75</v>
      </c>
      <c r="G47" s="21" t="s">
        <v>199</v>
      </c>
      <c r="H47" s="13" t="s">
        <v>196</v>
      </c>
      <c r="I47" s="35"/>
      <c r="J47" s="34"/>
      <c r="K47" s="34"/>
    </row>
    <row r="48" spans="1:11" x14ac:dyDescent="0.25">
      <c r="A48" s="164">
        <v>29</v>
      </c>
      <c r="B48" s="154" t="s">
        <v>153</v>
      </c>
      <c r="C48" s="144" t="s">
        <v>152</v>
      </c>
      <c r="D48" s="178" t="s">
        <v>151</v>
      </c>
      <c r="E48" s="112" t="s">
        <v>89</v>
      </c>
      <c r="F48" s="20">
        <f>10.64*1.6*0.05</f>
        <v>0.85120000000000007</v>
      </c>
      <c r="G48" s="21" t="s">
        <v>200</v>
      </c>
      <c r="H48" s="13" t="s">
        <v>201</v>
      </c>
      <c r="I48" s="35"/>
      <c r="J48" s="34"/>
      <c r="K48" s="34"/>
    </row>
    <row r="49" spans="1:13" x14ac:dyDescent="0.25">
      <c r="A49" s="164">
        <v>30</v>
      </c>
      <c r="B49" s="211" t="s">
        <v>81</v>
      </c>
      <c r="C49" s="211"/>
      <c r="D49" s="211"/>
      <c r="E49" s="211"/>
      <c r="F49" s="211"/>
      <c r="G49" s="211"/>
      <c r="H49" s="211"/>
      <c r="I49" s="166"/>
      <c r="J49" s="34"/>
      <c r="K49" s="34"/>
      <c r="L49" s="32"/>
      <c r="M49" s="32"/>
    </row>
    <row r="50" spans="1:13" ht="75" x14ac:dyDescent="0.25">
      <c r="A50" s="164">
        <v>31</v>
      </c>
      <c r="B50" s="209" t="s">
        <v>104</v>
      </c>
      <c r="C50" s="112" t="s">
        <v>150</v>
      </c>
      <c r="D50" s="163" t="s">
        <v>147</v>
      </c>
      <c r="E50" s="112" t="s">
        <v>146</v>
      </c>
      <c r="F50" s="112">
        <v>6</v>
      </c>
      <c r="G50" s="160">
        <v>6</v>
      </c>
      <c r="H50" s="13" t="s">
        <v>224</v>
      </c>
      <c r="I50" s="166"/>
      <c r="J50" s="34"/>
      <c r="K50" s="34"/>
      <c r="L50" s="32"/>
      <c r="M50" s="32"/>
    </row>
    <row r="51" spans="1:13" ht="45" x14ac:dyDescent="0.25">
      <c r="A51" s="164">
        <v>32</v>
      </c>
      <c r="B51" s="209"/>
      <c r="C51" s="112" t="s">
        <v>149</v>
      </c>
      <c r="D51" s="163" t="s">
        <v>148</v>
      </c>
      <c r="E51" s="112" t="s">
        <v>19</v>
      </c>
      <c r="F51" s="112">
        <v>6</v>
      </c>
      <c r="G51" s="160">
        <v>6</v>
      </c>
      <c r="H51" s="13" t="s">
        <v>224</v>
      </c>
      <c r="I51" s="166"/>
      <c r="J51" s="34"/>
      <c r="K51" s="34"/>
      <c r="L51" s="32"/>
      <c r="M51" s="32"/>
    </row>
    <row r="52" spans="1:13" ht="60" x14ac:dyDescent="0.25">
      <c r="A52" s="164">
        <v>33</v>
      </c>
      <c r="B52" s="210" t="s">
        <v>111</v>
      </c>
      <c r="C52" s="160" t="s">
        <v>18</v>
      </c>
      <c r="D52" s="163" t="s">
        <v>9</v>
      </c>
      <c r="E52" s="112" t="s">
        <v>8</v>
      </c>
      <c r="F52" s="20">
        <f>46.38</f>
        <v>46.38</v>
      </c>
      <c r="G52" s="21">
        <f>46.38</f>
        <v>46.38</v>
      </c>
      <c r="H52" s="13" t="s">
        <v>196</v>
      </c>
      <c r="I52" s="166"/>
      <c r="J52" s="93"/>
      <c r="K52" s="34"/>
      <c r="L52" s="32"/>
      <c r="M52" s="32"/>
    </row>
    <row r="53" spans="1:13" ht="60" x14ac:dyDescent="0.25">
      <c r="A53" s="164">
        <v>34</v>
      </c>
      <c r="B53" s="210"/>
      <c r="C53" s="160" t="s">
        <v>12</v>
      </c>
      <c r="D53" s="163" t="s">
        <v>14</v>
      </c>
      <c r="E53" s="112" t="s">
        <v>8</v>
      </c>
      <c r="F53" s="20">
        <f>2*F52</f>
        <v>92.76</v>
      </c>
      <c r="G53" s="21" t="s">
        <v>202</v>
      </c>
      <c r="H53" s="13" t="s">
        <v>196</v>
      </c>
      <c r="I53" s="166"/>
      <c r="J53" s="93"/>
      <c r="K53" s="34"/>
      <c r="L53" s="32"/>
      <c r="M53" s="32"/>
    </row>
    <row r="54" spans="1:13" ht="45" x14ac:dyDescent="0.25">
      <c r="A54" s="164">
        <v>35</v>
      </c>
      <c r="B54" s="210"/>
      <c r="C54" s="160" t="s">
        <v>13</v>
      </c>
      <c r="D54" s="163" t="s">
        <v>15</v>
      </c>
      <c r="E54" s="112" t="s">
        <v>8</v>
      </c>
      <c r="F54" s="20">
        <f>F53</f>
        <v>92.76</v>
      </c>
      <c r="G54" s="21" t="str">
        <f>G53</f>
        <v>2*46,38</v>
      </c>
      <c r="H54" s="13" t="s">
        <v>196</v>
      </c>
      <c r="I54" s="166"/>
      <c r="J54" s="93"/>
      <c r="K54" s="34"/>
      <c r="L54" s="32"/>
      <c r="M54" s="32"/>
    </row>
    <row r="55" spans="1:13" ht="45" x14ac:dyDescent="0.25">
      <c r="A55" s="164">
        <v>36</v>
      </c>
      <c r="B55" s="210"/>
      <c r="C55" s="160" t="s">
        <v>17</v>
      </c>
      <c r="D55" s="163" t="s">
        <v>16</v>
      </c>
      <c r="E55" s="112" t="s">
        <v>8</v>
      </c>
      <c r="F55" s="20">
        <f>F54</f>
        <v>92.76</v>
      </c>
      <c r="G55" s="21" t="str">
        <f>G54</f>
        <v>2*46,38</v>
      </c>
      <c r="H55" s="13" t="s">
        <v>196</v>
      </c>
      <c r="I55" s="166"/>
      <c r="J55" s="93"/>
      <c r="K55" s="34"/>
      <c r="L55" s="32"/>
      <c r="M55" s="32"/>
    </row>
    <row r="56" spans="1:13" ht="60" x14ac:dyDescent="0.25">
      <c r="A56" s="164">
        <v>37</v>
      </c>
      <c r="B56" s="210" t="s">
        <v>111</v>
      </c>
      <c r="C56" s="160" t="s">
        <v>18</v>
      </c>
      <c r="D56" s="163" t="s">
        <v>9</v>
      </c>
      <c r="E56" s="112" t="s">
        <v>8</v>
      </c>
      <c r="F56" s="20">
        <f>46.98-13.53</f>
        <v>33.449999999999996</v>
      </c>
      <c r="G56" s="21" t="s">
        <v>203</v>
      </c>
      <c r="H56" s="13" t="s">
        <v>196</v>
      </c>
      <c r="I56" s="166"/>
      <c r="J56" s="93"/>
      <c r="K56" s="34"/>
      <c r="L56" s="32"/>
      <c r="M56" s="32"/>
    </row>
    <row r="57" spans="1:13" ht="60" x14ac:dyDescent="0.25">
      <c r="A57" s="164">
        <v>38</v>
      </c>
      <c r="B57" s="210"/>
      <c r="C57" s="160" t="s">
        <v>12</v>
      </c>
      <c r="D57" s="163" t="s">
        <v>14</v>
      </c>
      <c r="E57" s="112" t="s">
        <v>8</v>
      </c>
      <c r="F57" s="20">
        <f>2*F56</f>
        <v>66.899999999999991</v>
      </c>
      <c r="G57" s="21" t="s">
        <v>204</v>
      </c>
      <c r="H57" s="13" t="s">
        <v>196</v>
      </c>
      <c r="I57" s="166"/>
      <c r="J57" s="93"/>
      <c r="K57" s="34"/>
      <c r="L57" s="32"/>
      <c r="M57" s="32"/>
    </row>
    <row r="58" spans="1:13" ht="45" x14ac:dyDescent="0.25">
      <c r="A58" s="164">
        <v>39</v>
      </c>
      <c r="B58" s="210"/>
      <c r="C58" s="160" t="s">
        <v>13</v>
      </c>
      <c r="D58" s="163" t="s">
        <v>15</v>
      </c>
      <c r="E58" s="112" t="s">
        <v>8</v>
      </c>
      <c r="F58" s="20">
        <f>F57</f>
        <v>66.899999999999991</v>
      </c>
      <c r="G58" s="21" t="str">
        <f>G57</f>
        <v>2*(46,98-13,53)</v>
      </c>
      <c r="H58" s="13" t="s">
        <v>196</v>
      </c>
      <c r="I58" s="166"/>
      <c r="J58" s="93"/>
      <c r="K58" s="34"/>
      <c r="L58" s="32"/>
      <c r="M58" s="32"/>
    </row>
    <row r="59" spans="1:13" ht="45" x14ac:dyDescent="0.25">
      <c r="A59" s="164">
        <v>40</v>
      </c>
      <c r="B59" s="210"/>
      <c r="C59" s="160" t="s">
        <v>17</v>
      </c>
      <c r="D59" s="163" t="s">
        <v>16</v>
      </c>
      <c r="E59" s="112" t="s">
        <v>8</v>
      </c>
      <c r="F59" s="20">
        <f>F58</f>
        <v>66.899999999999991</v>
      </c>
      <c r="G59" s="21" t="str">
        <f>G58</f>
        <v>2*(46,98-13,53)</v>
      </c>
      <c r="H59" s="13" t="s">
        <v>196</v>
      </c>
      <c r="I59" s="166"/>
      <c r="J59" s="93"/>
      <c r="K59" s="34"/>
      <c r="L59" s="32"/>
      <c r="M59" s="32"/>
    </row>
    <row r="60" spans="1:13" ht="60" x14ac:dyDescent="0.25">
      <c r="A60" s="164">
        <v>41</v>
      </c>
      <c r="B60" s="210" t="s">
        <v>111</v>
      </c>
      <c r="C60" s="160" t="s">
        <v>18</v>
      </c>
      <c r="D60" s="163" t="s">
        <v>9</v>
      </c>
      <c r="E60" s="112" t="s">
        <v>8</v>
      </c>
      <c r="F60" s="20">
        <f>29.76-3.36</f>
        <v>26.400000000000002</v>
      </c>
      <c r="G60" s="21" t="s">
        <v>205</v>
      </c>
      <c r="H60" s="13" t="s">
        <v>196</v>
      </c>
      <c r="I60" s="166"/>
      <c r="J60" s="34"/>
      <c r="K60" s="34"/>
      <c r="L60" s="32"/>
      <c r="M60" s="32"/>
    </row>
    <row r="61" spans="1:13" ht="60" x14ac:dyDescent="0.25">
      <c r="A61" s="164">
        <v>42</v>
      </c>
      <c r="B61" s="210"/>
      <c r="C61" s="160" t="s">
        <v>12</v>
      </c>
      <c r="D61" s="163" t="s">
        <v>14</v>
      </c>
      <c r="E61" s="112" t="s">
        <v>8</v>
      </c>
      <c r="F61" s="20">
        <f>2*F60</f>
        <v>52.800000000000004</v>
      </c>
      <c r="G61" s="21" t="s">
        <v>206</v>
      </c>
      <c r="H61" s="13" t="s">
        <v>196</v>
      </c>
      <c r="I61" s="166"/>
      <c r="J61" s="34"/>
      <c r="K61" s="34"/>
      <c r="L61" s="32"/>
      <c r="M61" s="32"/>
    </row>
    <row r="62" spans="1:13" ht="45" x14ac:dyDescent="0.25">
      <c r="A62" s="164">
        <v>43</v>
      </c>
      <c r="B62" s="210"/>
      <c r="C62" s="160" t="s">
        <v>13</v>
      </c>
      <c r="D62" s="163" t="s">
        <v>15</v>
      </c>
      <c r="E62" s="112" t="s">
        <v>8</v>
      </c>
      <c r="F62" s="20">
        <f>F61</f>
        <v>52.800000000000004</v>
      </c>
      <c r="G62" s="21" t="str">
        <f>G61</f>
        <v>2*(29,76-3,36)</v>
      </c>
      <c r="H62" s="13" t="s">
        <v>196</v>
      </c>
      <c r="I62" s="166"/>
      <c r="J62" s="34"/>
      <c r="K62" s="34"/>
      <c r="L62" s="32"/>
      <c r="M62" s="32"/>
    </row>
    <row r="63" spans="1:13" ht="45" x14ac:dyDescent="0.25">
      <c r="A63" s="164">
        <v>44</v>
      </c>
      <c r="B63" s="210"/>
      <c r="C63" s="160" t="s">
        <v>17</v>
      </c>
      <c r="D63" s="163" t="s">
        <v>16</v>
      </c>
      <c r="E63" s="112" t="s">
        <v>8</v>
      </c>
      <c r="F63" s="20">
        <f>F62</f>
        <v>52.800000000000004</v>
      </c>
      <c r="G63" s="21" t="str">
        <f>G62</f>
        <v>2*(29,76-3,36)</v>
      </c>
      <c r="H63" s="13" t="s">
        <v>196</v>
      </c>
      <c r="I63" s="166"/>
      <c r="J63" s="34"/>
      <c r="K63" s="34"/>
      <c r="L63" s="32"/>
      <c r="M63" s="32"/>
    </row>
    <row r="64" spans="1:13" ht="60" x14ac:dyDescent="0.25">
      <c r="A64" s="164">
        <v>45</v>
      </c>
      <c r="B64" s="210" t="s">
        <v>111</v>
      </c>
      <c r="C64" s="160" t="s">
        <v>18</v>
      </c>
      <c r="D64" s="163" t="s">
        <v>9</v>
      </c>
      <c r="E64" s="112" t="s">
        <v>8</v>
      </c>
      <c r="F64" s="20">
        <f>43.24-4.08-6.18</f>
        <v>32.980000000000004</v>
      </c>
      <c r="G64" s="21" t="s">
        <v>207</v>
      </c>
      <c r="H64" s="13" t="s">
        <v>196</v>
      </c>
      <c r="I64" s="166"/>
      <c r="J64" s="34"/>
      <c r="K64" s="34"/>
      <c r="L64" s="32"/>
      <c r="M64" s="32"/>
    </row>
    <row r="65" spans="1:13" ht="60" x14ac:dyDescent="0.25">
      <c r="A65" s="164">
        <v>46</v>
      </c>
      <c r="B65" s="210"/>
      <c r="C65" s="160" t="s">
        <v>12</v>
      </c>
      <c r="D65" s="163" t="s">
        <v>14</v>
      </c>
      <c r="E65" s="112" t="s">
        <v>8</v>
      </c>
      <c r="F65" s="20">
        <f>2*F64</f>
        <v>65.960000000000008</v>
      </c>
      <c r="G65" s="21" t="s">
        <v>208</v>
      </c>
      <c r="H65" s="13" t="s">
        <v>196</v>
      </c>
      <c r="I65" s="166"/>
      <c r="J65" s="34"/>
      <c r="K65" s="34"/>
      <c r="L65" s="32"/>
      <c r="M65" s="32"/>
    </row>
    <row r="66" spans="1:13" ht="45" x14ac:dyDescent="0.25">
      <c r="A66" s="164">
        <v>47</v>
      </c>
      <c r="B66" s="210"/>
      <c r="C66" s="160" t="s">
        <v>13</v>
      </c>
      <c r="D66" s="163" t="s">
        <v>15</v>
      </c>
      <c r="E66" s="112" t="s">
        <v>8</v>
      </c>
      <c r="F66" s="20">
        <f>F65</f>
        <v>65.960000000000008</v>
      </c>
      <c r="G66" s="21" t="str">
        <f>G65</f>
        <v>2*(43,24-4,08-6,18)</v>
      </c>
      <c r="H66" s="13" t="s">
        <v>196</v>
      </c>
      <c r="I66" s="166"/>
      <c r="J66" s="34"/>
      <c r="K66" s="34"/>
      <c r="L66" s="32"/>
      <c r="M66" s="32"/>
    </row>
    <row r="67" spans="1:13" ht="45" x14ac:dyDescent="0.25">
      <c r="A67" s="164">
        <v>48</v>
      </c>
      <c r="B67" s="210"/>
      <c r="C67" s="160" t="s">
        <v>17</v>
      </c>
      <c r="D67" s="163" t="s">
        <v>16</v>
      </c>
      <c r="E67" s="112" t="s">
        <v>8</v>
      </c>
      <c r="F67" s="20">
        <f>F66</f>
        <v>65.960000000000008</v>
      </c>
      <c r="G67" s="21" t="str">
        <f>G66</f>
        <v>2*(43,24-4,08-6,18)</v>
      </c>
      <c r="H67" s="13" t="s">
        <v>196</v>
      </c>
      <c r="I67" s="166"/>
      <c r="J67" s="34"/>
      <c r="K67" s="34"/>
      <c r="L67" s="32"/>
      <c r="M67" s="32"/>
    </row>
    <row r="68" spans="1:13" ht="60" x14ac:dyDescent="0.25">
      <c r="A68" s="164">
        <v>49</v>
      </c>
      <c r="B68" s="210" t="s">
        <v>111</v>
      </c>
      <c r="C68" s="160" t="s">
        <v>18</v>
      </c>
      <c r="D68" s="163" t="s">
        <v>9</v>
      </c>
      <c r="E68" s="112" t="s">
        <v>8</v>
      </c>
      <c r="F68" s="20">
        <f>51.24-6.18</f>
        <v>45.06</v>
      </c>
      <c r="G68" s="21" t="s">
        <v>209</v>
      </c>
      <c r="H68" s="13" t="s">
        <v>196</v>
      </c>
      <c r="I68" s="166"/>
      <c r="J68" s="34"/>
      <c r="K68" s="34"/>
      <c r="L68" s="32"/>
      <c r="M68" s="32"/>
    </row>
    <row r="69" spans="1:13" ht="60" x14ac:dyDescent="0.25">
      <c r="A69" s="164">
        <v>50</v>
      </c>
      <c r="B69" s="210"/>
      <c r="C69" s="160" t="s">
        <v>12</v>
      </c>
      <c r="D69" s="163" t="s">
        <v>14</v>
      </c>
      <c r="E69" s="112" t="s">
        <v>8</v>
      </c>
      <c r="F69" s="20">
        <f>2*F68</f>
        <v>90.12</v>
      </c>
      <c r="G69" s="21" t="s">
        <v>210</v>
      </c>
      <c r="H69" s="13" t="s">
        <v>196</v>
      </c>
      <c r="I69" s="166"/>
      <c r="J69" s="34"/>
      <c r="K69" s="34"/>
      <c r="L69" s="32"/>
      <c r="M69" s="32"/>
    </row>
    <row r="70" spans="1:13" ht="45" x14ac:dyDescent="0.25">
      <c r="A70" s="164">
        <v>51</v>
      </c>
      <c r="B70" s="210"/>
      <c r="C70" s="160" t="s">
        <v>13</v>
      </c>
      <c r="D70" s="163" t="s">
        <v>15</v>
      </c>
      <c r="E70" s="112" t="s">
        <v>8</v>
      </c>
      <c r="F70" s="20">
        <f>F69</f>
        <v>90.12</v>
      </c>
      <c r="G70" s="21" t="str">
        <f>G69</f>
        <v>2*(51,24-6,18)</v>
      </c>
      <c r="H70" s="13" t="s">
        <v>196</v>
      </c>
      <c r="I70" s="166"/>
      <c r="J70" s="34"/>
      <c r="K70" s="34"/>
      <c r="L70" s="32"/>
      <c r="M70" s="32"/>
    </row>
    <row r="71" spans="1:13" ht="45" x14ac:dyDescent="0.25">
      <c r="A71" s="164">
        <v>52</v>
      </c>
      <c r="B71" s="210"/>
      <c r="C71" s="160" t="s">
        <v>17</v>
      </c>
      <c r="D71" s="163" t="s">
        <v>16</v>
      </c>
      <c r="E71" s="112" t="s">
        <v>8</v>
      </c>
      <c r="F71" s="20">
        <f>F70</f>
        <v>90.12</v>
      </c>
      <c r="G71" s="21" t="str">
        <f>G70</f>
        <v>2*(51,24-6,18)</v>
      </c>
      <c r="H71" s="13" t="s">
        <v>196</v>
      </c>
      <c r="I71" s="166"/>
      <c r="J71" s="34"/>
      <c r="K71" s="34"/>
      <c r="L71" s="32"/>
      <c r="M71" s="32"/>
    </row>
    <row r="72" spans="1:13" ht="60" x14ac:dyDescent="0.25">
      <c r="A72" s="164">
        <v>53</v>
      </c>
      <c r="B72" s="210" t="s">
        <v>111</v>
      </c>
      <c r="C72" s="160" t="s">
        <v>18</v>
      </c>
      <c r="D72" s="163" t="s">
        <v>9</v>
      </c>
      <c r="E72" s="112" t="s">
        <v>8</v>
      </c>
      <c r="F72" s="20">
        <f>26.76</f>
        <v>26.76</v>
      </c>
      <c r="G72" s="21">
        <v>26.76</v>
      </c>
      <c r="H72" s="13" t="s">
        <v>196</v>
      </c>
      <c r="I72" s="166"/>
      <c r="J72" s="34"/>
      <c r="K72" s="34"/>
      <c r="L72" s="32"/>
      <c r="M72" s="32"/>
    </row>
    <row r="73" spans="1:13" ht="60" x14ac:dyDescent="0.25">
      <c r="A73" s="164">
        <v>54</v>
      </c>
      <c r="B73" s="210"/>
      <c r="C73" s="160" t="s">
        <v>12</v>
      </c>
      <c r="D73" s="163" t="s">
        <v>14</v>
      </c>
      <c r="E73" s="112" t="s">
        <v>8</v>
      </c>
      <c r="F73" s="20">
        <f>2*F72</f>
        <v>53.52</v>
      </c>
      <c r="G73" s="21" t="s">
        <v>211</v>
      </c>
      <c r="H73" s="13" t="s">
        <v>196</v>
      </c>
      <c r="I73" s="166"/>
      <c r="J73" s="34"/>
      <c r="K73" s="34"/>
      <c r="L73" s="32"/>
      <c r="M73" s="32"/>
    </row>
    <row r="74" spans="1:13" ht="45" x14ac:dyDescent="0.25">
      <c r="A74" s="164">
        <v>55</v>
      </c>
      <c r="B74" s="210"/>
      <c r="C74" s="160" t="s">
        <v>13</v>
      </c>
      <c r="D74" s="163" t="s">
        <v>15</v>
      </c>
      <c r="E74" s="112" t="s">
        <v>8</v>
      </c>
      <c r="F74" s="20">
        <f>F73</f>
        <v>53.52</v>
      </c>
      <c r="G74" s="21" t="str">
        <f>G73</f>
        <v>2*26,76</v>
      </c>
      <c r="H74" s="13" t="s">
        <v>196</v>
      </c>
      <c r="I74" s="166"/>
      <c r="J74" s="34"/>
      <c r="K74" s="34"/>
      <c r="L74" s="32"/>
      <c r="M74" s="32"/>
    </row>
    <row r="75" spans="1:13" ht="45" x14ac:dyDescent="0.25">
      <c r="A75" s="164">
        <v>56</v>
      </c>
      <c r="B75" s="210"/>
      <c r="C75" s="160" t="s">
        <v>17</v>
      </c>
      <c r="D75" s="163" t="s">
        <v>16</v>
      </c>
      <c r="E75" s="112" t="s">
        <v>8</v>
      </c>
      <c r="F75" s="20">
        <f>F74</f>
        <v>53.52</v>
      </c>
      <c r="G75" s="21" t="str">
        <f>G74</f>
        <v>2*26,76</v>
      </c>
      <c r="H75" s="13" t="s">
        <v>196</v>
      </c>
      <c r="I75" s="166"/>
      <c r="J75" s="34"/>
      <c r="K75" s="34"/>
      <c r="L75" s="32"/>
      <c r="M75" s="32"/>
    </row>
    <row r="76" spans="1:13" ht="60" x14ac:dyDescent="0.25">
      <c r="A76" s="164">
        <v>57</v>
      </c>
      <c r="B76" s="210" t="s">
        <v>111</v>
      </c>
      <c r="C76" s="160" t="s">
        <v>18</v>
      </c>
      <c r="D76" s="163" t="s">
        <v>9</v>
      </c>
      <c r="E76" s="112" t="s">
        <v>8</v>
      </c>
      <c r="F76" s="20">
        <f>25.64-4.83</f>
        <v>20.810000000000002</v>
      </c>
      <c r="G76" s="21" t="s">
        <v>212</v>
      </c>
      <c r="H76" s="13" t="s">
        <v>196</v>
      </c>
      <c r="I76" s="166"/>
      <c r="J76" s="34"/>
      <c r="K76" s="34"/>
      <c r="L76" s="32"/>
      <c r="M76" s="32"/>
    </row>
    <row r="77" spans="1:13" ht="60" x14ac:dyDescent="0.25">
      <c r="A77" s="164">
        <v>58</v>
      </c>
      <c r="B77" s="210"/>
      <c r="C77" s="160" t="s">
        <v>12</v>
      </c>
      <c r="D77" s="163" t="s">
        <v>14</v>
      </c>
      <c r="E77" s="112" t="s">
        <v>8</v>
      </c>
      <c r="F77" s="20">
        <f>2*F76</f>
        <v>41.620000000000005</v>
      </c>
      <c r="G77" s="21" t="s">
        <v>213</v>
      </c>
      <c r="H77" s="13" t="s">
        <v>196</v>
      </c>
      <c r="I77" s="166"/>
      <c r="J77" s="34"/>
      <c r="K77" s="34"/>
      <c r="L77" s="32"/>
      <c r="M77" s="32"/>
    </row>
    <row r="78" spans="1:13" ht="45" x14ac:dyDescent="0.25">
      <c r="A78" s="164">
        <v>59</v>
      </c>
      <c r="B78" s="210"/>
      <c r="C78" s="160" t="s">
        <v>13</v>
      </c>
      <c r="D78" s="163" t="s">
        <v>15</v>
      </c>
      <c r="E78" s="112" t="s">
        <v>8</v>
      </c>
      <c r="F78" s="20">
        <f>F77</f>
        <v>41.620000000000005</v>
      </c>
      <c r="G78" s="21" t="str">
        <f>G77</f>
        <v>2*(25,64-4,83)</v>
      </c>
      <c r="H78" s="13" t="s">
        <v>196</v>
      </c>
      <c r="I78" s="166"/>
      <c r="J78" s="34"/>
      <c r="K78" s="34"/>
      <c r="L78" s="32"/>
      <c r="M78" s="32"/>
    </row>
    <row r="79" spans="1:13" ht="45" x14ac:dyDescent="0.25">
      <c r="A79" s="164">
        <v>60</v>
      </c>
      <c r="B79" s="210"/>
      <c r="C79" s="160" t="s">
        <v>17</v>
      </c>
      <c r="D79" s="163" t="s">
        <v>16</v>
      </c>
      <c r="E79" s="112" t="s">
        <v>8</v>
      </c>
      <c r="F79" s="20">
        <f>F78</f>
        <v>41.620000000000005</v>
      </c>
      <c r="G79" s="21" t="str">
        <f>G78</f>
        <v>2*(25,64-4,83)</v>
      </c>
      <c r="H79" s="13" t="s">
        <v>196</v>
      </c>
      <c r="I79" s="166"/>
      <c r="J79" s="34"/>
      <c r="K79" s="34"/>
      <c r="L79" s="32"/>
      <c r="M79" s="32"/>
    </row>
    <row r="80" spans="1:13" ht="60" x14ac:dyDescent="0.25">
      <c r="A80" s="164">
        <v>61</v>
      </c>
      <c r="B80" s="210" t="s">
        <v>111</v>
      </c>
      <c r="C80" s="160" t="s">
        <v>18</v>
      </c>
      <c r="D80" s="163" t="s">
        <v>9</v>
      </c>
      <c r="E80" s="112" t="s">
        <v>8</v>
      </c>
      <c r="F80" s="20">
        <f>26.76-4.83</f>
        <v>21.93</v>
      </c>
      <c r="G80" s="21" t="s">
        <v>214</v>
      </c>
      <c r="H80" s="13" t="s">
        <v>196</v>
      </c>
      <c r="I80" s="35"/>
      <c r="J80" s="34"/>
      <c r="K80" s="34"/>
      <c r="L80" s="32"/>
      <c r="M80" s="32"/>
    </row>
    <row r="81" spans="1:13" ht="60" x14ac:dyDescent="0.25">
      <c r="A81" s="164">
        <v>62</v>
      </c>
      <c r="B81" s="210"/>
      <c r="C81" s="160" t="s">
        <v>12</v>
      </c>
      <c r="D81" s="163" t="s">
        <v>14</v>
      </c>
      <c r="E81" s="112" t="s">
        <v>8</v>
      </c>
      <c r="F81" s="20">
        <f>2*F80</f>
        <v>43.86</v>
      </c>
      <c r="G81" s="21" t="s">
        <v>215</v>
      </c>
      <c r="H81" s="13" t="s">
        <v>196</v>
      </c>
      <c r="I81" s="35"/>
      <c r="J81" s="34"/>
      <c r="K81" s="34"/>
      <c r="L81" s="32"/>
      <c r="M81" s="32"/>
    </row>
    <row r="82" spans="1:13" ht="45" x14ac:dyDescent="0.25">
      <c r="A82" s="164">
        <v>63</v>
      </c>
      <c r="B82" s="210"/>
      <c r="C82" s="160" t="s">
        <v>13</v>
      </c>
      <c r="D82" s="163" t="s">
        <v>15</v>
      </c>
      <c r="E82" s="112" t="s">
        <v>8</v>
      </c>
      <c r="F82" s="20">
        <f>F81</f>
        <v>43.86</v>
      </c>
      <c r="G82" s="21" t="str">
        <f>G81</f>
        <v>2*(26,76-4,83)</v>
      </c>
      <c r="H82" s="13" t="s">
        <v>196</v>
      </c>
      <c r="I82" s="35"/>
      <c r="J82" s="34"/>
      <c r="K82" s="34"/>
      <c r="L82" s="32"/>
      <c r="M82" s="32"/>
    </row>
    <row r="83" spans="1:13" ht="45" x14ac:dyDescent="0.25">
      <c r="A83" s="164">
        <v>64</v>
      </c>
      <c r="B83" s="210"/>
      <c r="C83" s="160" t="s">
        <v>17</v>
      </c>
      <c r="D83" s="163" t="s">
        <v>16</v>
      </c>
      <c r="E83" s="112" t="s">
        <v>8</v>
      </c>
      <c r="F83" s="20">
        <f>F82</f>
        <v>43.86</v>
      </c>
      <c r="G83" s="21" t="str">
        <f>G82</f>
        <v>2*(26,76-4,83)</v>
      </c>
      <c r="H83" s="13" t="s">
        <v>196</v>
      </c>
      <c r="I83" s="35"/>
      <c r="J83" s="34"/>
      <c r="K83" s="34"/>
      <c r="L83" s="32"/>
      <c r="M83" s="32"/>
    </row>
    <row r="84" spans="1:13" ht="30" customHeight="1" x14ac:dyDescent="0.25">
      <c r="A84" s="164">
        <v>65</v>
      </c>
      <c r="B84" s="154" t="s">
        <v>100</v>
      </c>
      <c r="C84" s="113" t="s">
        <v>78</v>
      </c>
      <c r="D84" s="179" t="s">
        <v>110</v>
      </c>
      <c r="E84" s="112" t="s">
        <v>8</v>
      </c>
      <c r="F84" s="20">
        <v>118.64</v>
      </c>
      <c r="G84" s="21">
        <v>118.64</v>
      </c>
      <c r="H84" s="13" t="s">
        <v>196</v>
      </c>
      <c r="I84" s="35"/>
      <c r="J84" s="34"/>
      <c r="K84" s="34"/>
      <c r="L84" s="32"/>
      <c r="M84" s="32"/>
    </row>
    <row r="85" spans="1:13" ht="30" customHeight="1" x14ac:dyDescent="0.25">
      <c r="A85" s="164">
        <v>66</v>
      </c>
      <c r="B85" s="154" t="s">
        <v>99</v>
      </c>
      <c r="C85" s="113" t="s">
        <v>78</v>
      </c>
      <c r="D85" s="179" t="s">
        <v>110</v>
      </c>
      <c r="E85" s="112" t="s">
        <v>8</v>
      </c>
      <c r="F85" s="20">
        <v>113.9</v>
      </c>
      <c r="G85" s="21">
        <v>113.9</v>
      </c>
      <c r="H85" s="13" t="s">
        <v>196</v>
      </c>
      <c r="I85" s="35"/>
      <c r="J85" s="34"/>
      <c r="K85" s="34"/>
      <c r="L85" s="32"/>
      <c r="M85" s="32"/>
    </row>
    <row r="86" spans="1:13" ht="30" customHeight="1" x14ac:dyDescent="0.25">
      <c r="A86" s="164">
        <v>67</v>
      </c>
      <c r="B86" s="154" t="s">
        <v>98</v>
      </c>
      <c r="C86" s="113" t="s">
        <v>78</v>
      </c>
      <c r="D86" s="179" t="s">
        <v>110</v>
      </c>
      <c r="E86" s="112" t="s">
        <v>8</v>
      </c>
      <c r="F86" s="20">
        <v>40.6</v>
      </c>
      <c r="G86" s="21">
        <v>40.6</v>
      </c>
      <c r="H86" s="13" t="s">
        <v>196</v>
      </c>
      <c r="I86" s="35"/>
      <c r="J86" s="34"/>
      <c r="K86" s="34"/>
      <c r="L86" s="32"/>
      <c r="M86" s="32"/>
    </row>
    <row r="87" spans="1:13" ht="30" customHeight="1" x14ac:dyDescent="0.25">
      <c r="A87" s="164">
        <v>68</v>
      </c>
      <c r="B87" s="154" t="s">
        <v>97</v>
      </c>
      <c r="C87" s="113" t="s">
        <v>78</v>
      </c>
      <c r="D87" s="179" t="s">
        <v>110</v>
      </c>
      <c r="E87" s="112" t="s">
        <v>8</v>
      </c>
      <c r="F87" s="20">
        <v>93.31</v>
      </c>
      <c r="G87" s="21">
        <v>93.31</v>
      </c>
      <c r="H87" s="13" t="s">
        <v>196</v>
      </c>
      <c r="I87" s="35"/>
      <c r="J87" s="34"/>
      <c r="K87" s="34"/>
      <c r="L87" s="32"/>
      <c r="M87" s="32"/>
    </row>
    <row r="88" spans="1:13" ht="30" customHeight="1" x14ac:dyDescent="0.25">
      <c r="A88" s="164">
        <v>69</v>
      </c>
      <c r="B88" s="154" t="s">
        <v>96</v>
      </c>
      <c r="C88" s="113" t="s">
        <v>78</v>
      </c>
      <c r="D88" s="179" t="s">
        <v>110</v>
      </c>
      <c r="E88" s="112" t="s">
        <v>8</v>
      </c>
      <c r="F88" s="20">
        <v>130.69</v>
      </c>
      <c r="G88" s="21">
        <v>130.69</v>
      </c>
      <c r="H88" s="13" t="s">
        <v>196</v>
      </c>
      <c r="I88" s="35"/>
      <c r="J88" s="34"/>
      <c r="K88" s="34"/>
      <c r="L88" s="32"/>
      <c r="M88" s="32"/>
    </row>
    <row r="89" spans="1:13" ht="30" customHeight="1" x14ac:dyDescent="0.25">
      <c r="A89" s="164">
        <v>70</v>
      </c>
      <c r="B89" s="154" t="s">
        <v>95</v>
      </c>
      <c r="C89" s="113" t="s">
        <v>78</v>
      </c>
      <c r="D89" s="179" t="s">
        <v>110</v>
      </c>
      <c r="E89" s="112" t="s">
        <v>8</v>
      </c>
      <c r="F89" s="20">
        <v>41.4</v>
      </c>
      <c r="G89" s="21">
        <v>41.4</v>
      </c>
      <c r="H89" s="13" t="s">
        <v>196</v>
      </c>
      <c r="I89" s="35"/>
      <c r="J89" s="34"/>
      <c r="K89" s="34"/>
      <c r="L89" s="32"/>
      <c r="M89" s="32"/>
    </row>
    <row r="90" spans="1:13" ht="30" customHeight="1" x14ac:dyDescent="0.25">
      <c r="A90" s="164">
        <v>71</v>
      </c>
      <c r="B90" s="154" t="s">
        <v>94</v>
      </c>
      <c r="C90" s="113" t="s">
        <v>78</v>
      </c>
      <c r="D90" s="179" t="s">
        <v>110</v>
      </c>
      <c r="E90" s="112" t="s">
        <v>8</v>
      </c>
      <c r="F90" s="20">
        <v>38.590000000000003</v>
      </c>
      <c r="G90" s="21">
        <v>38.590000000000003</v>
      </c>
      <c r="H90" s="13" t="s">
        <v>196</v>
      </c>
      <c r="I90" s="35"/>
      <c r="J90" s="34"/>
      <c r="K90" s="34"/>
      <c r="L90" s="32"/>
      <c r="M90" s="32"/>
    </row>
    <row r="91" spans="1:13" ht="30" customHeight="1" x14ac:dyDescent="0.25">
      <c r="A91" s="164">
        <v>72</v>
      </c>
      <c r="B91" s="154" t="s">
        <v>93</v>
      </c>
      <c r="C91" s="113" t="s">
        <v>78</v>
      </c>
      <c r="D91" s="179" t="s">
        <v>110</v>
      </c>
      <c r="E91" s="112" t="s">
        <v>8</v>
      </c>
      <c r="F91" s="20">
        <v>41.49</v>
      </c>
      <c r="G91" s="21">
        <v>41.49</v>
      </c>
      <c r="H91" s="13" t="s">
        <v>196</v>
      </c>
      <c r="I91" s="35"/>
      <c r="J91" s="34"/>
      <c r="K91" s="34"/>
      <c r="L91" s="32"/>
      <c r="M91" s="32"/>
    </row>
    <row r="92" spans="1:13" ht="30" customHeight="1" x14ac:dyDescent="0.25">
      <c r="A92" s="164">
        <v>73</v>
      </c>
      <c r="B92" s="154" t="s">
        <v>100</v>
      </c>
      <c r="C92" s="113" t="s">
        <v>21</v>
      </c>
      <c r="D92" s="179" t="s">
        <v>20</v>
      </c>
      <c r="E92" s="112" t="s">
        <v>8</v>
      </c>
      <c r="F92" s="20">
        <v>118.64</v>
      </c>
      <c r="G92" s="21">
        <v>118.64</v>
      </c>
      <c r="H92" s="13" t="s">
        <v>196</v>
      </c>
      <c r="I92" s="35"/>
      <c r="J92" s="34"/>
      <c r="K92" s="34"/>
      <c r="L92" s="32"/>
      <c r="M92" s="32"/>
    </row>
    <row r="93" spans="1:13" ht="30" customHeight="1" x14ac:dyDescent="0.25">
      <c r="A93" s="164">
        <v>74</v>
      </c>
      <c r="B93" s="154" t="s">
        <v>99</v>
      </c>
      <c r="C93" s="113" t="s">
        <v>21</v>
      </c>
      <c r="D93" s="179" t="s">
        <v>20</v>
      </c>
      <c r="E93" s="112" t="s">
        <v>8</v>
      </c>
      <c r="F93" s="20">
        <v>113.9</v>
      </c>
      <c r="G93" s="21">
        <v>113.9</v>
      </c>
      <c r="H93" s="13" t="s">
        <v>196</v>
      </c>
      <c r="I93" s="35"/>
      <c r="J93" s="34"/>
      <c r="K93" s="34"/>
      <c r="L93" s="32"/>
      <c r="M93" s="32"/>
    </row>
    <row r="94" spans="1:13" ht="30" customHeight="1" x14ac:dyDescent="0.25">
      <c r="A94" s="164">
        <v>75</v>
      </c>
      <c r="B94" s="154" t="s">
        <v>98</v>
      </c>
      <c r="C94" s="113" t="s">
        <v>21</v>
      </c>
      <c r="D94" s="179" t="s">
        <v>20</v>
      </c>
      <c r="E94" s="112" t="s">
        <v>8</v>
      </c>
      <c r="F94" s="20">
        <v>40.6</v>
      </c>
      <c r="G94" s="21">
        <v>40.6</v>
      </c>
      <c r="H94" s="13" t="s">
        <v>196</v>
      </c>
      <c r="I94" s="35"/>
      <c r="J94" s="34"/>
      <c r="K94" s="34"/>
      <c r="L94" s="32"/>
      <c r="M94" s="32"/>
    </row>
    <row r="95" spans="1:13" ht="30" customHeight="1" x14ac:dyDescent="0.25">
      <c r="A95" s="164">
        <v>76</v>
      </c>
      <c r="B95" s="154" t="s">
        <v>97</v>
      </c>
      <c r="C95" s="113" t="s">
        <v>21</v>
      </c>
      <c r="D95" s="179" t="s">
        <v>20</v>
      </c>
      <c r="E95" s="112" t="s">
        <v>8</v>
      </c>
      <c r="F95" s="20">
        <v>93.31</v>
      </c>
      <c r="G95" s="21">
        <v>93.31</v>
      </c>
      <c r="H95" s="13" t="s">
        <v>196</v>
      </c>
      <c r="I95" s="35"/>
      <c r="J95" s="34"/>
      <c r="K95" s="34"/>
      <c r="L95" s="32"/>
      <c r="M95" s="32"/>
    </row>
    <row r="96" spans="1:13" ht="30" customHeight="1" x14ac:dyDescent="0.25">
      <c r="A96" s="164">
        <v>77</v>
      </c>
      <c r="B96" s="154" t="s">
        <v>96</v>
      </c>
      <c r="C96" s="113" t="s">
        <v>21</v>
      </c>
      <c r="D96" s="179" t="s">
        <v>20</v>
      </c>
      <c r="E96" s="112" t="s">
        <v>8</v>
      </c>
      <c r="F96" s="20">
        <v>130.69</v>
      </c>
      <c r="G96" s="21">
        <v>130.69</v>
      </c>
      <c r="H96" s="13" t="s">
        <v>196</v>
      </c>
      <c r="I96" s="35"/>
      <c r="J96" s="34"/>
      <c r="K96" s="34"/>
      <c r="L96" s="32"/>
      <c r="M96" s="32"/>
    </row>
    <row r="97" spans="1:13" ht="30" customHeight="1" x14ac:dyDescent="0.25">
      <c r="A97" s="164">
        <v>78</v>
      </c>
      <c r="B97" s="154" t="s">
        <v>95</v>
      </c>
      <c r="C97" s="113" t="s">
        <v>21</v>
      </c>
      <c r="D97" s="179" t="s">
        <v>20</v>
      </c>
      <c r="E97" s="112" t="s">
        <v>8</v>
      </c>
      <c r="F97" s="20">
        <v>41.4</v>
      </c>
      <c r="G97" s="21">
        <v>41.4</v>
      </c>
      <c r="H97" s="13" t="s">
        <v>196</v>
      </c>
      <c r="I97" s="35"/>
      <c r="J97" s="34"/>
      <c r="K97" s="34"/>
      <c r="L97" s="32"/>
      <c r="M97" s="32"/>
    </row>
    <row r="98" spans="1:13" ht="30" customHeight="1" x14ac:dyDescent="0.25">
      <c r="A98" s="164">
        <v>79</v>
      </c>
      <c r="B98" s="154" t="s">
        <v>94</v>
      </c>
      <c r="C98" s="113" t="s">
        <v>21</v>
      </c>
      <c r="D98" s="179" t="s">
        <v>20</v>
      </c>
      <c r="E98" s="112" t="s">
        <v>8</v>
      </c>
      <c r="F98" s="20">
        <v>38.590000000000003</v>
      </c>
      <c r="G98" s="21">
        <v>38.590000000000003</v>
      </c>
      <c r="H98" s="13" t="s">
        <v>196</v>
      </c>
      <c r="I98" s="35"/>
      <c r="J98" s="34"/>
      <c r="K98" s="34"/>
      <c r="L98" s="32"/>
      <c r="M98" s="32"/>
    </row>
    <row r="99" spans="1:13" ht="30" x14ac:dyDescent="0.25">
      <c r="A99" s="164">
        <v>80</v>
      </c>
      <c r="B99" s="154" t="s">
        <v>93</v>
      </c>
      <c r="C99" s="113" t="s">
        <v>21</v>
      </c>
      <c r="D99" s="179" t="s">
        <v>20</v>
      </c>
      <c r="E99" s="112" t="s">
        <v>8</v>
      </c>
      <c r="F99" s="20">
        <v>41.49</v>
      </c>
      <c r="G99" s="21">
        <v>41.49</v>
      </c>
      <c r="H99" s="13" t="s">
        <v>196</v>
      </c>
      <c r="I99" s="35"/>
      <c r="J99" s="34"/>
      <c r="K99" s="148"/>
      <c r="L99" s="32"/>
      <c r="M99" s="32"/>
    </row>
    <row r="100" spans="1:13" ht="45" x14ac:dyDescent="0.25">
      <c r="A100" s="164">
        <v>81</v>
      </c>
      <c r="B100" s="154" t="s">
        <v>100</v>
      </c>
      <c r="C100" s="113" t="s">
        <v>23</v>
      </c>
      <c r="D100" s="179" t="s">
        <v>22</v>
      </c>
      <c r="E100" s="112" t="s">
        <v>19</v>
      </c>
      <c r="F100" s="20">
        <f>(15.33+7.38+7.38)</f>
        <v>30.09</v>
      </c>
      <c r="G100" s="21" t="s">
        <v>216</v>
      </c>
      <c r="H100" s="13" t="s">
        <v>53</v>
      </c>
      <c r="I100" s="35"/>
      <c r="J100" s="34"/>
      <c r="K100" s="148"/>
      <c r="L100" s="32"/>
      <c r="M100" s="32"/>
    </row>
    <row r="101" spans="1:13" ht="45" x14ac:dyDescent="0.25">
      <c r="A101" s="164">
        <v>82</v>
      </c>
      <c r="B101" s="154" t="s">
        <v>99</v>
      </c>
      <c r="C101" s="113" t="s">
        <v>23</v>
      </c>
      <c r="D101" s="179" t="s">
        <v>22</v>
      </c>
      <c r="E101" s="112" t="s">
        <v>19</v>
      </c>
      <c r="F101" s="20">
        <f>(16.24+6.77+6.77)</f>
        <v>29.779999999999998</v>
      </c>
      <c r="G101" s="21" t="s">
        <v>217</v>
      </c>
      <c r="H101" s="13" t="s">
        <v>53</v>
      </c>
      <c r="I101" s="35"/>
      <c r="J101" s="34"/>
      <c r="K101" s="148"/>
      <c r="L101" s="32"/>
      <c r="M101" s="32"/>
    </row>
    <row r="102" spans="1:13" ht="45" x14ac:dyDescent="0.25">
      <c r="A102" s="164">
        <v>83</v>
      </c>
      <c r="B102" s="154" t="s">
        <v>98</v>
      </c>
      <c r="C102" s="113" t="s">
        <v>23</v>
      </c>
      <c r="D102" s="179" t="s">
        <v>22</v>
      </c>
      <c r="E102" s="112" t="s">
        <v>19</v>
      </c>
      <c r="F102" s="20">
        <f>(11.16+3.36+3.36)</f>
        <v>17.88</v>
      </c>
      <c r="G102" s="21" t="s">
        <v>218</v>
      </c>
      <c r="H102" s="13" t="s">
        <v>53</v>
      </c>
      <c r="I102" s="35"/>
      <c r="J102" s="34"/>
      <c r="K102" s="148"/>
      <c r="L102" s="32"/>
      <c r="M102" s="32"/>
    </row>
    <row r="103" spans="1:13" ht="45" x14ac:dyDescent="0.25">
      <c r="A103" s="164">
        <v>84</v>
      </c>
      <c r="B103" s="154" t="s">
        <v>97</v>
      </c>
      <c r="C103" s="113" t="s">
        <v>23</v>
      </c>
      <c r="D103" s="179" t="s">
        <v>22</v>
      </c>
      <c r="E103" s="112" t="s">
        <v>19</v>
      </c>
      <c r="F103" s="20">
        <f>(15.45+5.94+5.94)</f>
        <v>27.330000000000002</v>
      </c>
      <c r="G103" s="21" t="s">
        <v>219</v>
      </c>
      <c r="H103" s="13" t="s">
        <v>53</v>
      </c>
      <c r="I103" s="35"/>
      <c r="J103" s="34"/>
      <c r="K103" s="148"/>
      <c r="L103" s="32"/>
      <c r="M103" s="32"/>
    </row>
    <row r="104" spans="1:13" ht="45" x14ac:dyDescent="0.25">
      <c r="A104" s="164">
        <v>85</v>
      </c>
      <c r="B104" s="154" t="s">
        <v>96</v>
      </c>
      <c r="C104" s="113" t="s">
        <v>23</v>
      </c>
      <c r="D104" s="179" t="s">
        <v>22</v>
      </c>
      <c r="E104" s="112" t="s">
        <v>19</v>
      </c>
      <c r="F104" s="20">
        <f>(18.35+6.79+6.79)</f>
        <v>31.93</v>
      </c>
      <c r="G104" s="21" t="s">
        <v>220</v>
      </c>
      <c r="H104" s="13" t="s">
        <v>53</v>
      </c>
      <c r="I104" s="35"/>
      <c r="J104" s="34"/>
      <c r="K104" s="148"/>
      <c r="L104" s="32"/>
      <c r="M104" s="32"/>
    </row>
    <row r="105" spans="1:13" ht="45" x14ac:dyDescent="0.25">
      <c r="A105" s="164">
        <v>86</v>
      </c>
      <c r="B105" s="154" t="s">
        <v>95</v>
      </c>
      <c r="C105" s="113" t="s">
        <v>23</v>
      </c>
      <c r="D105" s="179" t="s">
        <v>22</v>
      </c>
      <c r="E105" s="112" t="s">
        <v>19</v>
      </c>
      <c r="F105" s="20">
        <f>(8.28+4.63+4.63)</f>
        <v>17.54</v>
      </c>
      <c r="G105" s="21" t="s">
        <v>221</v>
      </c>
      <c r="H105" s="13" t="s">
        <v>53</v>
      </c>
      <c r="I105" s="35"/>
      <c r="J105" s="34"/>
      <c r="K105" s="148"/>
      <c r="L105" s="32"/>
      <c r="M105" s="32"/>
    </row>
    <row r="106" spans="1:13" ht="45" x14ac:dyDescent="0.25">
      <c r="A106" s="164">
        <v>87</v>
      </c>
      <c r="B106" s="154" t="s">
        <v>94</v>
      </c>
      <c r="C106" s="113" t="s">
        <v>23</v>
      </c>
      <c r="D106" s="179" t="s">
        <v>22</v>
      </c>
      <c r="E106" s="112" t="s">
        <v>19</v>
      </c>
      <c r="F106" s="20">
        <f>(7.99+4.59+4.59)</f>
        <v>17.170000000000002</v>
      </c>
      <c r="G106" s="21" t="s">
        <v>222</v>
      </c>
      <c r="H106" s="13" t="s">
        <v>53</v>
      </c>
      <c r="I106" s="35"/>
      <c r="J106" s="34"/>
      <c r="K106" s="148"/>
      <c r="L106" s="32"/>
      <c r="M106" s="32"/>
    </row>
    <row r="107" spans="1:13" ht="45" x14ac:dyDescent="0.25">
      <c r="A107" s="164">
        <v>88</v>
      </c>
      <c r="B107" s="154" t="s">
        <v>93</v>
      </c>
      <c r="C107" s="113" t="s">
        <v>23</v>
      </c>
      <c r="D107" s="179" t="s">
        <v>22</v>
      </c>
      <c r="E107" s="112" t="s">
        <v>19</v>
      </c>
      <c r="F107" s="20">
        <f>(8.28+4.63+4.63)</f>
        <v>17.54</v>
      </c>
      <c r="G107" s="21" t="s">
        <v>221</v>
      </c>
      <c r="H107" s="13" t="s">
        <v>53</v>
      </c>
      <c r="I107" s="35"/>
      <c r="J107" s="34"/>
      <c r="K107" s="34"/>
      <c r="L107" s="32"/>
      <c r="M107" s="32"/>
    </row>
    <row r="108" spans="1:13" ht="30" x14ac:dyDescent="0.25">
      <c r="A108" s="164">
        <v>89</v>
      </c>
      <c r="B108" s="154" t="s">
        <v>100</v>
      </c>
      <c r="C108" s="113" t="s">
        <v>25</v>
      </c>
      <c r="D108" s="179" t="s">
        <v>24</v>
      </c>
      <c r="E108" s="112" t="s">
        <v>19</v>
      </c>
      <c r="F108" s="20">
        <f>15.33</f>
        <v>15.33</v>
      </c>
      <c r="G108" s="21">
        <f>15.33</f>
        <v>15.33</v>
      </c>
      <c r="H108" s="13" t="s">
        <v>53</v>
      </c>
      <c r="I108" s="35"/>
      <c r="J108" s="34"/>
      <c r="K108" s="34"/>
      <c r="L108" s="32"/>
      <c r="M108" s="32"/>
    </row>
    <row r="109" spans="1:13" ht="30" x14ac:dyDescent="0.25">
      <c r="A109" s="164">
        <v>90</v>
      </c>
      <c r="B109" s="154" t="s">
        <v>99</v>
      </c>
      <c r="C109" s="113" t="s">
        <v>25</v>
      </c>
      <c r="D109" s="179" t="s">
        <v>24</v>
      </c>
      <c r="E109" s="112" t="s">
        <v>19</v>
      </c>
      <c r="F109" s="20">
        <v>13.53</v>
      </c>
      <c r="G109" s="21">
        <v>13.53</v>
      </c>
      <c r="H109" s="13" t="s">
        <v>53</v>
      </c>
      <c r="I109" s="35"/>
      <c r="J109" s="34"/>
      <c r="K109" s="34"/>
      <c r="L109" s="32"/>
      <c r="M109" s="32"/>
    </row>
    <row r="110" spans="1:13" ht="30" x14ac:dyDescent="0.25">
      <c r="A110" s="164">
        <v>91</v>
      </c>
      <c r="B110" s="154" t="s">
        <v>98</v>
      </c>
      <c r="C110" s="113" t="s">
        <v>25</v>
      </c>
      <c r="D110" s="179" t="s">
        <v>24</v>
      </c>
      <c r="E110" s="112" t="s">
        <v>19</v>
      </c>
      <c r="F110" s="20">
        <v>11.16</v>
      </c>
      <c r="G110" s="21">
        <v>11.16</v>
      </c>
      <c r="H110" s="13" t="s">
        <v>53</v>
      </c>
      <c r="I110" s="35"/>
      <c r="J110" s="34"/>
      <c r="K110" s="34"/>
      <c r="L110" s="32"/>
      <c r="M110" s="32"/>
    </row>
    <row r="111" spans="1:13" ht="30" x14ac:dyDescent="0.25">
      <c r="A111" s="164">
        <v>92</v>
      </c>
      <c r="B111" s="154" t="s">
        <v>97</v>
      </c>
      <c r="C111" s="113" t="s">
        <v>25</v>
      </c>
      <c r="D111" s="179" t="s">
        <v>24</v>
      </c>
      <c r="E111" s="112" t="s">
        <v>19</v>
      </c>
      <c r="F111" s="20">
        <v>16.239999999999998</v>
      </c>
      <c r="G111" s="21">
        <v>16.239999999999998</v>
      </c>
      <c r="H111" s="13" t="s">
        <v>53</v>
      </c>
      <c r="I111" s="35"/>
      <c r="J111" s="34"/>
      <c r="K111" s="34"/>
      <c r="L111" s="32"/>
      <c r="M111" s="32"/>
    </row>
    <row r="112" spans="1:13" ht="30" x14ac:dyDescent="0.25">
      <c r="A112" s="164">
        <v>93</v>
      </c>
      <c r="B112" s="154" t="s">
        <v>96</v>
      </c>
      <c r="C112" s="113" t="s">
        <v>25</v>
      </c>
      <c r="D112" s="179" t="s">
        <v>24</v>
      </c>
      <c r="E112" s="112" t="s">
        <v>19</v>
      </c>
      <c r="F112" s="20">
        <v>18.350000000000001</v>
      </c>
      <c r="G112" s="21">
        <v>18.350000000000001</v>
      </c>
      <c r="H112" s="13" t="s">
        <v>53</v>
      </c>
      <c r="I112" s="35"/>
      <c r="J112" s="34"/>
      <c r="K112" s="34"/>
      <c r="L112" s="32"/>
      <c r="M112" s="32"/>
    </row>
    <row r="113" spans="1:13" ht="30" x14ac:dyDescent="0.25">
      <c r="A113" s="164">
        <v>94</v>
      </c>
      <c r="B113" s="154" t="s">
        <v>95</v>
      </c>
      <c r="C113" s="113" t="s">
        <v>25</v>
      </c>
      <c r="D113" s="179" t="s">
        <v>24</v>
      </c>
      <c r="E113" s="112" t="s">
        <v>19</v>
      </c>
      <c r="F113" s="20">
        <v>8.2799999999999994</v>
      </c>
      <c r="G113" s="21">
        <v>8.2799999999999994</v>
      </c>
      <c r="H113" s="13" t="s">
        <v>53</v>
      </c>
      <c r="I113" s="35"/>
      <c r="J113" s="34"/>
      <c r="K113" s="34"/>
      <c r="L113" s="32"/>
      <c r="M113" s="32"/>
    </row>
    <row r="114" spans="1:13" ht="30" x14ac:dyDescent="0.25">
      <c r="A114" s="164">
        <v>95</v>
      </c>
      <c r="B114" s="154" t="s">
        <v>94</v>
      </c>
      <c r="C114" s="113" t="s">
        <v>25</v>
      </c>
      <c r="D114" s="179" t="s">
        <v>24</v>
      </c>
      <c r="E114" s="112" t="s">
        <v>19</v>
      </c>
      <c r="F114" s="20">
        <v>7.99</v>
      </c>
      <c r="G114" s="21">
        <v>7.99</v>
      </c>
      <c r="H114" s="13" t="s">
        <v>53</v>
      </c>
      <c r="I114" s="35"/>
      <c r="J114" s="34"/>
      <c r="K114" s="34"/>
      <c r="L114" s="32"/>
      <c r="M114" s="32"/>
    </row>
    <row r="115" spans="1:13" ht="30" x14ac:dyDescent="0.25">
      <c r="A115" s="164">
        <v>96</v>
      </c>
      <c r="B115" s="154" t="s">
        <v>93</v>
      </c>
      <c r="C115" s="113" t="s">
        <v>25</v>
      </c>
      <c r="D115" s="179" t="s">
        <v>24</v>
      </c>
      <c r="E115" s="112" t="s">
        <v>19</v>
      </c>
      <c r="F115" s="20">
        <v>8.2799999999999994</v>
      </c>
      <c r="G115" s="21">
        <v>8.2799999999999994</v>
      </c>
      <c r="H115" s="13" t="s">
        <v>53</v>
      </c>
      <c r="I115" s="35"/>
      <c r="J115" s="34"/>
      <c r="K115" s="34"/>
      <c r="L115" s="32"/>
      <c r="M115" s="32"/>
    </row>
    <row r="116" spans="1:13" ht="45" x14ac:dyDescent="0.25">
      <c r="A116" s="164">
        <v>97</v>
      </c>
      <c r="B116" s="154" t="s">
        <v>100</v>
      </c>
      <c r="C116" s="113" t="s">
        <v>26</v>
      </c>
      <c r="D116" s="179" t="s">
        <v>27</v>
      </c>
      <c r="E116" s="112" t="s">
        <v>19</v>
      </c>
      <c r="F116" s="20">
        <f>46.38</f>
        <v>46.38</v>
      </c>
      <c r="G116" s="21">
        <f>46.38</f>
        <v>46.38</v>
      </c>
      <c r="H116" s="13" t="s">
        <v>53</v>
      </c>
      <c r="I116" s="35"/>
      <c r="J116" s="34"/>
      <c r="K116" s="34"/>
      <c r="L116" s="32"/>
      <c r="M116" s="32"/>
    </row>
    <row r="117" spans="1:13" ht="45" x14ac:dyDescent="0.25">
      <c r="A117" s="164">
        <v>98</v>
      </c>
      <c r="B117" s="154" t="s">
        <v>99</v>
      </c>
      <c r="C117" s="113" t="s">
        <v>26</v>
      </c>
      <c r="D117" s="179" t="s">
        <v>27</v>
      </c>
      <c r="E117" s="112" t="s">
        <v>19</v>
      </c>
      <c r="F117" s="20">
        <f>46.98-13.53</f>
        <v>33.449999999999996</v>
      </c>
      <c r="G117" s="21" t="s">
        <v>203</v>
      </c>
      <c r="H117" s="13" t="s">
        <v>53</v>
      </c>
      <c r="I117" s="35"/>
      <c r="J117" s="34"/>
      <c r="K117" s="34"/>
      <c r="L117" s="32"/>
      <c r="M117" s="32"/>
    </row>
    <row r="118" spans="1:13" ht="45" x14ac:dyDescent="0.25">
      <c r="A118" s="164">
        <v>99</v>
      </c>
      <c r="B118" s="154" t="s">
        <v>98</v>
      </c>
      <c r="C118" s="113" t="s">
        <v>26</v>
      </c>
      <c r="D118" s="179" t="s">
        <v>27</v>
      </c>
      <c r="E118" s="112" t="s">
        <v>19</v>
      </c>
      <c r="F118" s="20">
        <f>29.76-3.36</f>
        <v>26.400000000000002</v>
      </c>
      <c r="G118" s="21" t="s">
        <v>205</v>
      </c>
      <c r="H118" s="13" t="s">
        <v>53</v>
      </c>
      <c r="I118" s="35"/>
      <c r="J118" s="34"/>
      <c r="K118" s="34"/>
      <c r="L118" s="32"/>
      <c r="M118" s="32"/>
    </row>
    <row r="119" spans="1:13" ht="45" x14ac:dyDescent="0.25">
      <c r="A119" s="164">
        <v>100</v>
      </c>
      <c r="B119" s="154" t="s">
        <v>97</v>
      </c>
      <c r="C119" s="113" t="s">
        <v>26</v>
      </c>
      <c r="D119" s="179" t="s">
        <v>27</v>
      </c>
      <c r="E119" s="112" t="s">
        <v>19</v>
      </c>
      <c r="F119" s="20">
        <f>43.24-4.08-6.18</f>
        <v>32.980000000000004</v>
      </c>
      <c r="G119" s="21" t="s">
        <v>207</v>
      </c>
      <c r="H119" s="13" t="s">
        <v>53</v>
      </c>
      <c r="I119" s="35"/>
      <c r="J119" s="34"/>
      <c r="K119" s="34"/>
      <c r="L119" s="32"/>
      <c r="M119" s="32"/>
    </row>
    <row r="120" spans="1:13" ht="45" x14ac:dyDescent="0.25">
      <c r="A120" s="164">
        <v>101</v>
      </c>
      <c r="B120" s="154" t="s">
        <v>96</v>
      </c>
      <c r="C120" s="113" t="s">
        <v>26</v>
      </c>
      <c r="D120" s="179" t="s">
        <v>27</v>
      </c>
      <c r="E120" s="112" t="s">
        <v>19</v>
      </c>
      <c r="F120" s="20">
        <f>51.24-6.18</f>
        <v>45.06</v>
      </c>
      <c r="G120" s="21" t="s">
        <v>209</v>
      </c>
      <c r="H120" s="13" t="s">
        <v>53</v>
      </c>
      <c r="I120" s="35"/>
      <c r="J120" s="34"/>
      <c r="K120" s="34"/>
      <c r="L120" s="32"/>
      <c r="M120" s="32"/>
    </row>
    <row r="121" spans="1:13" ht="45" x14ac:dyDescent="0.25">
      <c r="A121" s="164">
        <v>102</v>
      </c>
      <c r="B121" s="154" t="s">
        <v>95</v>
      </c>
      <c r="C121" s="113" t="s">
        <v>26</v>
      </c>
      <c r="D121" s="179" t="s">
        <v>27</v>
      </c>
      <c r="E121" s="112" t="s">
        <v>19</v>
      </c>
      <c r="F121" s="20">
        <f>26.76</f>
        <v>26.76</v>
      </c>
      <c r="G121" s="21">
        <f>26.76</f>
        <v>26.76</v>
      </c>
      <c r="H121" s="13" t="s">
        <v>53</v>
      </c>
      <c r="I121" s="35"/>
      <c r="J121" s="34"/>
      <c r="K121" s="34"/>
      <c r="L121" s="32"/>
      <c r="M121" s="32"/>
    </row>
    <row r="122" spans="1:13" ht="45" x14ac:dyDescent="0.25">
      <c r="A122" s="164">
        <v>103</v>
      </c>
      <c r="B122" s="154" t="s">
        <v>94</v>
      </c>
      <c r="C122" s="113" t="s">
        <v>26</v>
      </c>
      <c r="D122" s="179" t="s">
        <v>27</v>
      </c>
      <c r="E122" s="112" t="s">
        <v>19</v>
      </c>
      <c r="F122" s="20">
        <f>25.64-4.83</f>
        <v>20.810000000000002</v>
      </c>
      <c r="G122" s="21" t="s">
        <v>212</v>
      </c>
      <c r="H122" s="13" t="s">
        <v>53</v>
      </c>
      <c r="I122" s="35"/>
      <c r="J122" s="34"/>
      <c r="K122" s="34"/>
      <c r="L122" s="32"/>
      <c r="M122" s="32"/>
    </row>
    <row r="123" spans="1:13" ht="45" x14ac:dyDescent="0.25">
      <c r="A123" s="164">
        <v>104</v>
      </c>
      <c r="B123" s="154" t="s">
        <v>93</v>
      </c>
      <c r="C123" s="113" t="s">
        <v>26</v>
      </c>
      <c r="D123" s="179" t="s">
        <v>27</v>
      </c>
      <c r="E123" s="112" t="s">
        <v>19</v>
      </c>
      <c r="F123" s="20">
        <f>26.76-4.83</f>
        <v>21.93</v>
      </c>
      <c r="G123" s="21" t="s">
        <v>214</v>
      </c>
      <c r="H123" s="13" t="s">
        <v>53</v>
      </c>
      <c r="I123" s="35"/>
      <c r="J123" s="34"/>
      <c r="K123" s="34"/>
      <c r="L123" s="32"/>
      <c r="M123" s="32"/>
    </row>
    <row r="124" spans="1:13" ht="60" x14ac:dyDescent="0.25">
      <c r="A124" s="164">
        <v>105</v>
      </c>
      <c r="B124" s="154" t="s">
        <v>100</v>
      </c>
      <c r="C124" s="12" t="s">
        <v>64</v>
      </c>
      <c r="D124" s="180" t="s">
        <v>63</v>
      </c>
      <c r="E124" s="112" t="s">
        <v>19</v>
      </c>
      <c r="F124" s="20">
        <f>8*2*3.5</f>
        <v>56</v>
      </c>
      <c r="G124" s="21" t="s">
        <v>65</v>
      </c>
      <c r="H124" s="13" t="s">
        <v>53</v>
      </c>
      <c r="I124" s="35"/>
      <c r="J124" s="34"/>
      <c r="K124" s="34"/>
      <c r="L124" s="32"/>
      <c r="M124" s="32"/>
    </row>
    <row r="125" spans="1:13" ht="60" x14ac:dyDescent="0.25">
      <c r="A125" s="164">
        <v>106</v>
      </c>
      <c r="B125" s="154" t="s">
        <v>99</v>
      </c>
      <c r="C125" s="12" t="s">
        <v>64</v>
      </c>
      <c r="D125" s="180" t="s">
        <v>63</v>
      </c>
      <c r="E125" s="112" t="s">
        <v>19</v>
      </c>
      <c r="F125" s="20">
        <f t="shared" ref="F125:F131" si="0">2*3.5</f>
        <v>7</v>
      </c>
      <c r="G125" s="21" t="s">
        <v>223</v>
      </c>
      <c r="H125" s="13" t="s">
        <v>53</v>
      </c>
      <c r="I125" s="35"/>
      <c r="J125" s="34"/>
      <c r="K125" s="34"/>
      <c r="L125" s="32"/>
      <c r="M125" s="32"/>
    </row>
    <row r="126" spans="1:13" ht="60" x14ac:dyDescent="0.25">
      <c r="A126" s="164">
        <v>107</v>
      </c>
      <c r="B126" s="154" t="s">
        <v>98</v>
      </c>
      <c r="C126" s="12" t="s">
        <v>64</v>
      </c>
      <c r="D126" s="180" t="s">
        <v>63</v>
      </c>
      <c r="E126" s="112" t="s">
        <v>19</v>
      </c>
      <c r="F126" s="20">
        <f t="shared" si="0"/>
        <v>7</v>
      </c>
      <c r="G126" s="21" t="s">
        <v>223</v>
      </c>
      <c r="H126" s="13" t="s">
        <v>53</v>
      </c>
      <c r="I126" s="35"/>
      <c r="J126" s="34"/>
      <c r="K126" s="34"/>
      <c r="L126" s="32"/>
      <c r="M126" s="32"/>
    </row>
    <row r="127" spans="1:13" ht="60" x14ac:dyDescent="0.25">
      <c r="A127" s="164">
        <v>108</v>
      </c>
      <c r="B127" s="154" t="s">
        <v>97</v>
      </c>
      <c r="C127" s="12" t="s">
        <v>64</v>
      </c>
      <c r="D127" s="180" t="s">
        <v>63</v>
      </c>
      <c r="E127" s="112" t="s">
        <v>19</v>
      </c>
      <c r="F127" s="20">
        <f t="shared" si="0"/>
        <v>7</v>
      </c>
      <c r="G127" s="21" t="s">
        <v>223</v>
      </c>
      <c r="H127" s="13" t="s">
        <v>53</v>
      </c>
      <c r="I127" s="35"/>
      <c r="J127" s="34"/>
      <c r="K127" s="34"/>
      <c r="L127" s="32"/>
      <c r="M127" s="32"/>
    </row>
    <row r="128" spans="1:13" ht="60" x14ac:dyDescent="0.25">
      <c r="A128" s="164">
        <v>109</v>
      </c>
      <c r="B128" s="154" t="s">
        <v>96</v>
      </c>
      <c r="C128" s="12" t="s">
        <v>64</v>
      </c>
      <c r="D128" s="180" t="s">
        <v>63</v>
      </c>
      <c r="E128" s="112" t="s">
        <v>19</v>
      </c>
      <c r="F128" s="20">
        <f t="shared" si="0"/>
        <v>7</v>
      </c>
      <c r="G128" s="21" t="s">
        <v>223</v>
      </c>
      <c r="H128" s="13" t="s">
        <v>53</v>
      </c>
      <c r="I128" s="35"/>
      <c r="J128" s="34"/>
      <c r="K128" s="34"/>
      <c r="L128" s="32"/>
      <c r="M128" s="32"/>
    </row>
    <row r="129" spans="1:13" ht="60" x14ac:dyDescent="0.25">
      <c r="A129" s="164">
        <v>110</v>
      </c>
      <c r="B129" s="154" t="s">
        <v>95</v>
      </c>
      <c r="C129" s="12" t="s">
        <v>64</v>
      </c>
      <c r="D129" s="180" t="s">
        <v>63</v>
      </c>
      <c r="E129" s="112" t="s">
        <v>19</v>
      </c>
      <c r="F129" s="20">
        <f t="shared" si="0"/>
        <v>7</v>
      </c>
      <c r="G129" s="21" t="s">
        <v>223</v>
      </c>
      <c r="H129" s="13" t="s">
        <v>53</v>
      </c>
      <c r="I129" s="35"/>
      <c r="J129" s="34"/>
      <c r="K129" s="34"/>
      <c r="L129" s="32"/>
      <c r="M129" s="32"/>
    </row>
    <row r="130" spans="1:13" ht="60" x14ac:dyDescent="0.25">
      <c r="A130" s="164">
        <v>111</v>
      </c>
      <c r="B130" s="154" t="s">
        <v>94</v>
      </c>
      <c r="C130" s="12" t="s">
        <v>64</v>
      </c>
      <c r="D130" s="180" t="s">
        <v>63</v>
      </c>
      <c r="E130" s="112" t="s">
        <v>19</v>
      </c>
      <c r="F130" s="20">
        <f t="shared" si="0"/>
        <v>7</v>
      </c>
      <c r="G130" s="21" t="s">
        <v>223</v>
      </c>
      <c r="H130" s="13" t="s">
        <v>53</v>
      </c>
      <c r="I130" s="35"/>
      <c r="J130" s="34"/>
      <c r="K130" s="34"/>
      <c r="L130" s="32"/>
      <c r="M130" s="32"/>
    </row>
    <row r="131" spans="1:13" ht="60" x14ac:dyDescent="0.25">
      <c r="A131" s="164">
        <v>112</v>
      </c>
      <c r="B131" s="154" t="s">
        <v>93</v>
      </c>
      <c r="C131" s="12" t="s">
        <v>64</v>
      </c>
      <c r="D131" s="180" t="s">
        <v>63</v>
      </c>
      <c r="E131" s="112" t="s">
        <v>19</v>
      </c>
      <c r="F131" s="20">
        <f t="shared" si="0"/>
        <v>7</v>
      </c>
      <c r="G131" s="21" t="s">
        <v>223</v>
      </c>
      <c r="H131" s="13" t="s">
        <v>53</v>
      </c>
      <c r="I131" s="35"/>
      <c r="J131" s="34"/>
      <c r="K131" s="34"/>
      <c r="L131" s="32"/>
      <c r="M131" s="32"/>
    </row>
    <row r="132" spans="1:13" x14ac:dyDescent="0.25">
      <c r="A132" s="164">
        <v>113</v>
      </c>
      <c r="B132" s="211" t="s">
        <v>112</v>
      </c>
      <c r="C132" s="211"/>
      <c r="D132" s="211"/>
      <c r="E132" s="211"/>
      <c r="F132" s="211"/>
      <c r="G132" s="211"/>
      <c r="H132" s="211"/>
      <c r="I132" s="35"/>
      <c r="J132" s="34"/>
      <c r="K132" s="34"/>
      <c r="L132" s="32"/>
      <c r="M132" s="32"/>
    </row>
    <row r="133" spans="1:13" ht="60" x14ac:dyDescent="0.25">
      <c r="A133" s="164">
        <v>114</v>
      </c>
      <c r="B133" s="163" t="s">
        <v>157</v>
      </c>
      <c r="C133" s="12" t="s">
        <v>158</v>
      </c>
      <c r="D133" s="180" t="s">
        <v>160</v>
      </c>
      <c r="E133" s="112" t="s">
        <v>19</v>
      </c>
      <c r="F133" s="20">
        <f>10.64+2.54</f>
        <v>13.18</v>
      </c>
      <c r="G133" s="21" t="s">
        <v>225</v>
      </c>
      <c r="H133" s="13" t="s">
        <v>53</v>
      </c>
      <c r="I133" s="35"/>
      <c r="J133" s="34"/>
      <c r="K133" s="34"/>
      <c r="L133" s="32"/>
      <c r="M133" s="32"/>
    </row>
    <row r="134" spans="1:13" ht="105" x14ac:dyDescent="0.25">
      <c r="A134" s="164">
        <v>115</v>
      </c>
      <c r="B134" s="154" t="s">
        <v>114</v>
      </c>
      <c r="C134" s="12" t="s">
        <v>159</v>
      </c>
      <c r="D134" s="180" t="s">
        <v>161</v>
      </c>
      <c r="E134" s="112" t="s">
        <v>8</v>
      </c>
      <c r="F134" s="20">
        <v>48.06</v>
      </c>
      <c r="G134" s="21">
        <v>48.06</v>
      </c>
      <c r="H134" s="13" t="s">
        <v>196</v>
      </c>
      <c r="I134" s="35"/>
      <c r="J134" s="34"/>
      <c r="K134" s="34"/>
      <c r="L134" s="32"/>
      <c r="M134" s="32"/>
    </row>
    <row r="135" spans="1:13" ht="105" x14ac:dyDescent="0.25">
      <c r="A135" s="164">
        <v>116</v>
      </c>
      <c r="B135" s="154" t="s">
        <v>115</v>
      </c>
      <c r="C135" s="12" t="s">
        <v>159</v>
      </c>
      <c r="D135" s="180" t="s">
        <v>161</v>
      </c>
      <c r="E135" s="112" t="s">
        <v>8</v>
      </c>
      <c r="F135" s="20">
        <v>47.76</v>
      </c>
      <c r="G135" s="21">
        <v>47.76</v>
      </c>
      <c r="H135" s="13" t="s">
        <v>196</v>
      </c>
      <c r="I135" s="35"/>
      <c r="J135" s="34"/>
      <c r="K135" s="34"/>
      <c r="L135" s="32"/>
      <c r="M135" s="32"/>
    </row>
    <row r="136" spans="1:13" ht="105" x14ac:dyDescent="0.25">
      <c r="A136" s="164">
        <v>117</v>
      </c>
      <c r="B136" s="154" t="s">
        <v>103</v>
      </c>
      <c r="C136" s="12" t="s">
        <v>159</v>
      </c>
      <c r="D136" s="180" t="s">
        <v>161</v>
      </c>
      <c r="E136" s="112" t="s">
        <v>8</v>
      </c>
      <c r="F136" s="20">
        <v>51.6</v>
      </c>
      <c r="G136" s="21">
        <v>51.6</v>
      </c>
      <c r="H136" s="13" t="s">
        <v>196</v>
      </c>
      <c r="I136" s="35"/>
      <c r="J136" s="34"/>
      <c r="K136" s="34"/>
      <c r="L136" s="32"/>
      <c r="M136" s="32"/>
    </row>
    <row r="137" spans="1:13" ht="105" x14ac:dyDescent="0.25">
      <c r="A137" s="164">
        <v>118</v>
      </c>
      <c r="B137" s="154" t="s">
        <v>116</v>
      </c>
      <c r="C137" s="12" t="s">
        <v>159</v>
      </c>
      <c r="D137" s="180" t="s">
        <v>161</v>
      </c>
      <c r="E137" s="112" t="s">
        <v>8</v>
      </c>
      <c r="F137" s="20">
        <v>51.6</v>
      </c>
      <c r="G137" s="21">
        <v>51.6</v>
      </c>
      <c r="H137" s="13" t="s">
        <v>196</v>
      </c>
      <c r="I137" s="35"/>
      <c r="J137" s="34"/>
      <c r="K137" s="34"/>
      <c r="L137" s="32"/>
      <c r="M137" s="32"/>
    </row>
    <row r="138" spans="1:13" ht="45" x14ac:dyDescent="0.25">
      <c r="A138" s="164">
        <v>119</v>
      </c>
      <c r="B138" s="154" t="s">
        <v>114</v>
      </c>
      <c r="C138" s="12" t="s">
        <v>176</v>
      </c>
      <c r="D138" s="180" t="s">
        <v>175</v>
      </c>
      <c r="E138" s="112" t="s">
        <v>8</v>
      </c>
      <c r="F138" s="20">
        <v>48.06</v>
      </c>
      <c r="G138" s="21">
        <v>48.06</v>
      </c>
      <c r="H138" s="13" t="s">
        <v>196</v>
      </c>
      <c r="I138" s="35"/>
      <c r="J138" s="34"/>
      <c r="K138" s="34"/>
      <c r="L138" s="32"/>
      <c r="M138" s="32"/>
    </row>
    <row r="139" spans="1:13" ht="45" x14ac:dyDescent="0.25">
      <c r="A139" s="164">
        <v>120</v>
      </c>
      <c r="B139" s="154" t="s">
        <v>115</v>
      </c>
      <c r="C139" s="12" t="s">
        <v>176</v>
      </c>
      <c r="D139" s="180" t="s">
        <v>175</v>
      </c>
      <c r="E139" s="112" t="s">
        <v>8</v>
      </c>
      <c r="F139" s="20">
        <v>47.76</v>
      </c>
      <c r="G139" s="21">
        <v>47.76</v>
      </c>
      <c r="H139" s="13" t="s">
        <v>196</v>
      </c>
      <c r="I139" s="35"/>
      <c r="J139" s="34"/>
      <c r="K139" s="34"/>
      <c r="L139" s="32"/>
      <c r="M139" s="32"/>
    </row>
    <row r="140" spans="1:13" ht="45" x14ac:dyDescent="0.25">
      <c r="A140" s="164">
        <v>121</v>
      </c>
      <c r="B140" s="154" t="s">
        <v>103</v>
      </c>
      <c r="C140" s="12" t="s">
        <v>176</v>
      </c>
      <c r="D140" s="180" t="s">
        <v>175</v>
      </c>
      <c r="E140" s="112" t="s">
        <v>8</v>
      </c>
      <c r="F140" s="20">
        <v>51.6</v>
      </c>
      <c r="G140" s="21">
        <v>51.6</v>
      </c>
      <c r="H140" s="13" t="s">
        <v>196</v>
      </c>
      <c r="I140" s="35"/>
      <c r="J140" s="34"/>
      <c r="K140" s="34"/>
      <c r="L140" s="32"/>
      <c r="M140" s="32"/>
    </row>
    <row r="141" spans="1:13" ht="45" x14ac:dyDescent="0.25">
      <c r="A141" s="164">
        <v>122</v>
      </c>
      <c r="B141" s="154" t="s">
        <v>116</v>
      </c>
      <c r="C141" s="12" t="s">
        <v>176</v>
      </c>
      <c r="D141" s="180" t="s">
        <v>175</v>
      </c>
      <c r="E141" s="112" t="s">
        <v>8</v>
      </c>
      <c r="F141" s="20">
        <v>51.6</v>
      </c>
      <c r="G141" s="21">
        <v>51.6</v>
      </c>
      <c r="H141" s="13" t="s">
        <v>196</v>
      </c>
      <c r="I141" s="35"/>
      <c r="J141" s="34"/>
      <c r="K141" s="34"/>
      <c r="L141" s="32"/>
      <c r="M141" s="32"/>
    </row>
    <row r="142" spans="1:13" ht="30" x14ac:dyDescent="0.25">
      <c r="A142" s="164">
        <v>123</v>
      </c>
      <c r="B142" s="154"/>
      <c r="C142" s="12" t="s">
        <v>163</v>
      </c>
      <c r="D142" s="180" t="s">
        <v>162</v>
      </c>
      <c r="E142" s="112" t="s">
        <v>19</v>
      </c>
      <c r="F142" s="20">
        <v>160.71</v>
      </c>
      <c r="G142" s="21">
        <v>160.71</v>
      </c>
      <c r="H142" s="13" t="s">
        <v>196</v>
      </c>
      <c r="I142" s="35"/>
      <c r="J142" s="34"/>
      <c r="K142" s="34"/>
      <c r="L142" s="32"/>
      <c r="M142" s="32"/>
    </row>
    <row r="143" spans="1:13" ht="105" x14ac:dyDescent="0.25">
      <c r="A143" s="164">
        <v>124</v>
      </c>
      <c r="B143" s="154" t="s">
        <v>164</v>
      </c>
      <c r="C143" s="12" t="s">
        <v>165</v>
      </c>
      <c r="D143" s="180" t="s">
        <v>166</v>
      </c>
      <c r="E143" s="112" t="s">
        <v>8</v>
      </c>
      <c r="F143" s="20">
        <f>12.94*2.7-1*2.1</f>
        <v>32.838000000000001</v>
      </c>
      <c r="G143" s="21" t="s">
        <v>226</v>
      </c>
      <c r="H143" s="13" t="s">
        <v>196</v>
      </c>
      <c r="I143" s="35"/>
      <c r="J143" s="148"/>
      <c r="K143" s="34"/>
      <c r="L143" s="32"/>
      <c r="M143" s="32"/>
    </row>
    <row r="144" spans="1:13" ht="45" x14ac:dyDescent="0.25">
      <c r="A144" s="164">
        <v>125</v>
      </c>
      <c r="B144" s="154" t="s">
        <v>164</v>
      </c>
      <c r="C144" s="12" t="s">
        <v>176</v>
      </c>
      <c r="D144" s="180" t="s">
        <v>175</v>
      </c>
      <c r="E144" s="112" t="s">
        <v>8</v>
      </c>
      <c r="F144" s="20">
        <f>12.94*2.7-1*2.1</f>
        <v>32.838000000000001</v>
      </c>
      <c r="G144" s="21" t="s">
        <v>226</v>
      </c>
      <c r="H144" s="13" t="s">
        <v>196</v>
      </c>
      <c r="I144" s="35"/>
      <c r="J144" s="148"/>
      <c r="K144" s="34"/>
      <c r="L144" s="32"/>
      <c r="M144" s="32"/>
    </row>
    <row r="145" spans="1:13" ht="105" x14ac:dyDescent="0.25">
      <c r="A145" s="164">
        <v>126</v>
      </c>
      <c r="B145" s="154" t="s">
        <v>164</v>
      </c>
      <c r="C145" s="12" t="s">
        <v>159</v>
      </c>
      <c r="D145" s="180" t="s">
        <v>161</v>
      </c>
      <c r="E145" s="112" t="s">
        <v>8</v>
      </c>
      <c r="F145" s="20">
        <v>6.48</v>
      </c>
      <c r="G145" s="21">
        <v>6.48</v>
      </c>
      <c r="H145" s="13" t="s">
        <v>196</v>
      </c>
      <c r="I145" s="35"/>
      <c r="J145" s="34"/>
      <c r="K145" s="34"/>
      <c r="L145" s="32"/>
      <c r="M145" s="32"/>
    </row>
    <row r="146" spans="1:13" ht="45" x14ac:dyDescent="0.25">
      <c r="A146" s="164">
        <v>127</v>
      </c>
      <c r="B146" s="154" t="s">
        <v>126</v>
      </c>
      <c r="C146" s="12" t="s">
        <v>169</v>
      </c>
      <c r="D146" s="180" t="s">
        <v>167</v>
      </c>
      <c r="E146" s="112" t="s">
        <v>8</v>
      </c>
      <c r="F146" s="20">
        <f>3*8</f>
        <v>24</v>
      </c>
      <c r="G146" s="21" t="s">
        <v>227</v>
      </c>
      <c r="H146" s="13" t="s">
        <v>196</v>
      </c>
      <c r="I146" s="35"/>
      <c r="J146" s="34"/>
      <c r="K146" s="34"/>
      <c r="L146" s="32"/>
      <c r="M146" s="32"/>
    </row>
    <row r="147" spans="1:13" ht="45" x14ac:dyDescent="0.25">
      <c r="A147" s="164">
        <v>128</v>
      </c>
      <c r="B147" s="154" t="s">
        <v>127</v>
      </c>
      <c r="C147" s="12" t="s">
        <v>169</v>
      </c>
      <c r="D147" s="180" t="s">
        <v>168</v>
      </c>
      <c r="E147" s="112" t="s">
        <v>8</v>
      </c>
      <c r="F147" s="20">
        <f>3*8.5</f>
        <v>25.5</v>
      </c>
      <c r="G147" s="21" t="s">
        <v>228</v>
      </c>
      <c r="H147" s="13" t="s">
        <v>196</v>
      </c>
      <c r="I147" s="35"/>
      <c r="J147" s="34"/>
      <c r="K147" s="34"/>
      <c r="L147" s="32"/>
      <c r="M147" s="32"/>
    </row>
    <row r="148" spans="1:13" x14ac:dyDescent="0.25">
      <c r="A148" s="164">
        <v>129</v>
      </c>
      <c r="B148" s="154" t="s">
        <v>126</v>
      </c>
      <c r="C148" s="12" t="s">
        <v>170</v>
      </c>
      <c r="D148" s="180" t="s">
        <v>171</v>
      </c>
      <c r="E148" s="112" t="s">
        <v>8</v>
      </c>
      <c r="F148" s="20">
        <f>3*8</f>
        <v>24</v>
      </c>
      <c r="G148" s="21" t="s">
        <v>227</v>
      </c>
      <c r="H148" s="13" t="s">
        <v>196</v>
      </c>
      <c r="I148" s="35"/>
      <c r="J148" s="34"/>
      <c r="K148" s="34"/>
      <c r="L148" s="32"/>
      <c r="M148" s="32"/>
    </row>
    <row r="149" spans="1:13" x14ac:dyDescent="0.25">
      <c r="A149" s="164">
        <v>130</v>
      </c>
      <c r="B149" s="154" t="s">
        <v>127</v>
      </c>
      <c r="C149" s="12" t="s">
        <v>170</v>
      </c>
      <c r="D149" s="180" t="s">
        <v>171</v>
      </c>
      <c r="E149" s="112" t="s">
        <v>8</v>
      </c>
      <c r="F149" s="20">
        <f>3*8.5</f>
        <v>25.5</v>
      </c>
      <c r="G149" s="21" t="s">
        <v>228</v>
      </c>
      <c r="H149" s="13" t="s">
        <v>196</v>
      </c>
      <c r="I149" s="35"/>
      <c r="J149" s="34"/>
      <c r="K149" s="34"/>
      <c r="L149" s="32"/>
      <c r="M149" s="32"/>
    </row>
    <row r="150" spans="1:13" ht="60" x14ac:dyDescent="0.25">
      <c r="A150" s="164">
        <v>131</v>
      </c>
      <c r="B150" s="207" t="s">
        <v>172</v>
      </c>
      <c r="C150" s="160" t="s">
        <v>18</v>
      </c>
      <c r="D150" s="163" t="s">
        <v>9</v>
      </c>
      <c r="E150" s="112" t="s">
        <v>8</v>
      </c>
      <c r="F150" s="20">
        <f>4.48*0.6</f>
        <v>2.6880000000000002</v>
      </c>
      <c r="G150" s="21" t="s">
        <v>229</v>
      </c>
      <c r="H150" s="13" t="s">
        <v>196</v>
      </c>
      <c r="I150" s="35"/>
      <c r="J150" s="34"/>
      <c r="K150" s="34"/>
      <c r="L150" s="32"/>
      <c r="M150" s="32"/>
    </row>
    <row r="151" spans="1:13" ht="60" x14ac:dyDescent="0.25">
      <c r="A151" s="164">
        <v>132</v>
      </c>
      <c r="B151" s="207"/>
      <c r="C151" s="160" t="s">
        <v>12</v>
      </c>
      <c r="D151" s="163" t="s">
        <v>14</v>
      </c>
      <c r="E151" s="112" t="s">
        <v>8</v>
      </c>
      <c r="F151" s="20">
        <f>2*F150</f>
        <v>5.3760000000000003</v>
      </c>
      <c r="G151" s="21" t="s">
        <v>230</v>
      </c>
      <c r="H151" s="13" t="s">
        <v>196</v>
      </c>
      <c r="I151" s="35"/>
      <c r="J151" s="34"/>
      <c r="K151" s="34"/>
      <c r="L151" s="32"/>
      <c r="M151" s="32"/>
    </row>
    <row r="152" spans="1:13" ht="45" x14ac:dyDescent="0.25">
      <c r="A152" s="164">
        <v>133</v>
      </c>
      <c r="B152" s="207"/>
      <c r="C152" s="160" t="s">
        <v>13</v>
      </c>
      <c r="D152" s="163" t="s">
        <v>15</v>
      </c>
      <c r="E152" s="112" t="s">
        <v>8</v>
      </c>
      <c r="F152" s="20">
        <f>F151</f>
        <v>5.3760000000000003</v>
      </c>
      <c r="G152" s="21" t="str">
        <f>G151</f>
        <v>2*(4,48*0,6)</v>
      </c>
      <c r="H152" s="13" t="s">
        <v>196</v>
      </c>
      <c r="I152" s="35"/>
      <c r="J152" s="34"/>
      <c r="K152" s="34"/>
      <c r="L152" s="32"/>
      <c r="M152" s="32"/>
    </row>
    <row r="153" spans="1:13" ht="45" x14ac:dyDescent="0.25">
      <c r="A153" s="164">
        <v>134</v>
      </c>
      <c r="B153" s="207"/>
      <c r="C153" s="160" t="s">
        <v>17</v>
      </c>
      <c r="D153" s="163" t="s">
        <v>16</v>
      </c>
      <c r="E153" s="112" t="s">
        <v>8</v>
      </c>
      <c r="F153" s="20">
        <f>F152</f>
        <v>5.3760000000000003</v>
      </c>
      <c r="G153" s="21" t="str">
        <f>G152</f>
        <v>2*(4,48*0,6)</v>
      </c>
      <c r="H153" s="13" t="s">
        <v>196</v>
      </c>
      <c r="I153" s="35"/>
      <c r="J153" s="34"/>
      <c r="K153" s="34"/>
      <c r="L153" s="32"/>
      <c r="M153" s="32"/>
    </row>
    <row r="154" spans="1:13" x14ac:dyDescent="0.25">
      <c r="A154" s="164">
        <v>135</v>
      </c>
      <c r="B154" s="207"/>
      <c r="C154" s="157" t="s">
        <v>174</v>
      </c>
      <c r="D154" s="178" t="s">
        <v>173</v>
      </c>
      <c r="E154" s="112" t="s">
        <v>19</v>
      </c>
      <c r="F154" s="20">
        <v>4.68</v>
      </c>
      <c r="G154" s="21">
        <v>4.68</v>
      </c>
      <c r="H154" s="13" t="s">
        <v>53</v>
      </c>
      <c r="I154" s="35"/>
      <c r="J154" s="34"/>
      <c r="K154" s="34"/>
      <c r="L154" s="32"/>
      <c r="M154" s="32"/>
    </row>
    <row r="155" spans="1:13" ht="60" x14ac:dyDescent="0.25">
      <c r="A155" s="164">
        <v>136</v>
      </c>
      <c r="B155" s="207"/>
      <c r="C155" s="144" t="s">
        <v>86</v>
      </c>
      <c r="D155" s="177" t="s">
        <v>87</v>
      </c>
      <c r="E155" s="112" t="s">
        <v>8</v>
      </c>
      <c r="F155" s="20">
        <f>0.2*4.68</f>
        <v>0.93599999999999994</v>
      </c>
      <c r="G155" s="21" t="s">
        <v>231</v>
      </c>
      <c r="H155" s="13" t="s">
        <v>196</v>
      </c>
      <c r="I155" s="35"/>
      <c r="J155" s="34"/>
      <c r="K155" s="34"/>
      <c r="L155" s="32"/>
      <c r="M155" s="32"/>
    </row>
    <row r="156" spans="1:13" ht="45" x14ac:dyDescent="0.25">
      <c r="A156" s="164">
        <v>137</v>
      </c>
      <c r="B156" s="207"/>
      <c r="C156" s="12" t="s">
        <v>176</v>
      </c>
      <c r="D156" s="180" t="s">
        <v>175</v>
      </c>
      <c r="E156" s="112" t="s">
        <v>8</v>
      </c>
      <c r="F156" s="20">
        <f>F155</f>
        <v>0.93599999999999994</v>
      </c>
      <c r="G156" s="21" t="str">
        <f>G155</f>
        <v>0,2*4,68</v>
      </c>
      <c r="H156" s="13" t="s">
        <v>196</v>
      </c>
      <c r="J156" s="34"/>
      <c r="K156" s="34"/>
      <c r="L156" s="32"/>
      <c r="M156" s="32"/>
    </row>
    <row r="157" spans="1:13" x14ac:dyDescent="0.25">
      <c r="A157" s="164">
        <v>138</v>
      </c>
      <c r="B157" s="212" t="s">
        <v>80</v>
      </c>
      <c r="C157" s="212"/>
      <c r="D157" s="212"/>
      <c r="E157" s="212"/>
      <c r="F157" s="212"/>
      <c r="G157" s="212"/>
      <c r="H157" s="212"/>
      <c r="I157" s="35"/>
      <c r="J157" s="34"/>
      <c r="K157" s="34"/>
      <c r="L157" s="32"/>
      <c r="M157" s="32"/>
    </row>
    <row r="158" spans="1:13" ht="75" x14ac:dyDescent="0.25">
      <c r="A158" s="164">
        <v>139</v>
      </c>
      <c r="B158" s="209" t="s">
        <v>104</v>
      </c>
      <c r="C158" s="112" t="s">
        <v>150</v>
      </c>
      <c r="D158" s="163" t="s">
        <v>147</v>
      </c>
      <c r="E158" s="112" t="s">
        <v>146</v>
      </c>
      <c r="F158" s="112">
        <v>6</v>
      </c>
      <c r="G158" s="160">
        <v>6</v>
      </c>
      <c r="H158" s="13" t="s">
        <v>224</v>
      </c>
      <c r="I158" s="35"/>
      <c r="J158" s="34"/>
      <c r="K158" s="34"/>
      <c r="L158" s="32"/>
      <c r="M158" s="32"/>
    </row>
    <row r="159" spans="1:13" ht="45" x14ac:dyDescent="0.25">
      <c r="A159" s="164">
        <v>140</v>
      </c>
      <c r="B159" s="209"/>
      <c r="C159" s="112" t="s">
        <v>149</v>
      </c>
      <c r="D159" s="163" t="s">
        <v>148</v>
      </c>
      <c r="E159" s="112" t="s">
        <v>19</v>
      </c>
      <c r="F159" s="112">
        <v>6</v>
      </c>
      <c r="G159" s="160">
        <v>6</v>
      </c>
      <c r="H159" s="13" t="s">
        <v>224</v>
      </c>
      <c r="I159" s="35"/>
      <c r="J159" s="34"/>
      <c r="K159" s="34"/>
      <c r="L159" s="32"/>
      <c r="M159" s="32"/>
    </row>
    <row r="160" spans="1:13" ht="45" x14ac:dyDescent="0.25">
      <c r="A160" s="164">
        <v>141</v>
      </c>
      <c r="B160" s="207" t="s">
        <v>114</v>
      </c>
      <c r="C160" s="12" t="s">
        <v>68</v>
      </c>
      <c r="D160" s="180" t="s">
        <v>69</v>
      </c>
      <c r="E160" s="112" t="s">
        <v>8</v>
      </c>
      <c r="F160" s="20">
        <f>27.89*3.9-F162</f>
        <v>90.816000000000003</v>
      </c>
      <c r="G160" s="21" t="s">
        <v>232</v>
      </c>
      <c r="H160" s="13" t="s">
        <v>196</v>
      </c>
      <c r="I160" s="35"/>
      <c r="J160" s="34"/>
      <c r="K160" s="34"/>
      <c r="L160" s="32"/>
      <c r="M160" s="32"/>
    </row>
    <row r="161" spans="1:13" ht="60" x14ac:dyDescent="0.25">
      <c r="A161" s="164">
        <v>142</v>
      </c>
      <c r="B161" s="207"/>
      <c r="C161" s="12" t="s">
        <v>70</v>
      </c>
      <c r="D161" s="180" t="s">
        <v>71</v>
      </c>
      <c r="E161" s="112" t="s">
        <v>8</v>
      </c>
      <c r="F161" s="20">
        <f>F160</f>
        <v>90.816000000000003</v>
      </c>
      <c r="G161" s="21" t="str">
        <f>G160</f>
        <v>27,89*3,9-(1,05*3,1*5+0,8*2,1)</v>
      </c>
      <c r="H161" s="13" t="s">
        <v>196</v>
      </c>
      <c r="I161" s="35"/>
      <c r="J161" s="34"/>
      <c r="K161" s="34"/>
      <c r="L161" s="32"/>
      <c r="M161" s="32"/>
    </row>
    <row r="162" spans="1:13" ht="60" x14ac:dyDescent="0.25">
      <c r="A162" s="164">
        <v>143</v>
      </c>
      <c r="B162" s="207"/>
      <c r="C162" s="12" t="s">
        <v>72</v>
      </c>
      <c r="D162" s="163" t="s">
        <v>177</v>
      </c>
      <c r="E162" s="112" t="s">
        <v>8</v>
      </c>
      <c r="F162" s="20">
        <f>1.05*3.1*5+0.8*2.1</f>
        <v>17.955000000000002</v>
      </c>
      <c r="G162" s="21" t="s">
        <v>233</v>
      </c>
      <c r="H162" s="13" t="s">
        <v>196</v>
      </c>
      <c r="I162" s="35"/>
      <c r="J162" s="34"/>
      <c r="K162" s="34"/>
      <c r="L162" s="32"/>
      <c r="M162" s="32"/>
    </row>
    <row r="163" spans="1:13" ht="60" x14ac:dyDescent="0.25">
      <c r="A163" s="164">
        <v>144</v>
      </c>
      <c r="B163" s="207"/>
      <c r="C163" s="160" t="s">
        <v>74</v>
      </c>
      <c r="D163" s="163" t="s">
        <v>75</v>
      </c>
      <c r="E163" s="112" t="s">
        <v>8</v>
      </c>
      <c r="F163" s="20">
        <v>47.61</v>
      </c>
      <c r="G163" s="21">
        <v>47.61</v>
      </c>
      <c r="H163" s="13" t="s">
        <v>196</v>
      </c>
      <c r="I163" s="35"/>
      <c r="J163" s="34"/>
      <c r="K163" s="34"/>
      <c r="L163" s="32"/>
      <c r="M163" s="32"/>
    </row>
    <row r="164" spans="1:13" ht="60" x14ac:dyDescent="0.25">
      <c r="A164" s="164">
        <v>145</v>
      </c>
      <c r="B164" s="207"/>
      <c r="C164" s="113" t="s">
        <v>76</v>
      </c>
      <c r="D164" s="179" t="s">
        <v>77</v>
      </c>
      <c r="E164" s="112" t="s">
        <v>8</v>
      </c>
      <c r="F164" s="20">
        <v>47.61</v>
      </c>
      <c r="G164" s="21">
        <v>47.61</v>
      </c>
      <c r="H164" s="13" t="s">
        <v>196</v>
      </c>
      <c r="I164" s="35"/>
      <c r="J164" s="34"/>
      <c r="K164" s="34"/>
      <c r="L164" s="32"/>
      <c r="M164" s="32"/>
    </row>
    <row r="165" spans="1:13" ht="45" x14ac:dyDescent="0.25">
      <c r="A165" s="164">
        <v>146</v>
      </c>
      <c r="B165" s="207" t="s">
        <v>115</v>
      </c>
      <c r="C165" s="12" t="s">
        <v>68</v>
      </c>
      <c r="D165" s="180" t="s">
        <v>69</v>
      </c>
      <c r="E165" s="112" t="s">
        <v>8</v>
      </c>
      <c r="F165" s="20">
        <f>27.94*3.9-F167</f>
        <v>91.01100000000001</v>
      </c>
      <c r="G165" s="21" t="s">
        <v>234</v>
      </c>
      <c r="H165" s="13" t="s">
        <v>196</v>
      </c>
      <c r="I165" s="35"/>
      <c r="J165" s="34"/>
      <c r="K165" s="34"/>
      <c r="L165" s="32"/>
      <c r="M165" s="32"/>
    </row>
    <row r="166" spans="1:13" ht="60" x14ac:dyDescent="0.25">
      <c r="A166" s="164">
        <v>147</v>
      </c>
      <c r="B166" s="207"/>
      <c r="C166" s="12" t="s">
        <v>70</v>
      </c>
      <c r="D166" s="180" t="s">
        <v>71</v>
      </c>
      <c r="E166" s="112" t="s">
        <v>8</v>
      </c>
      <c r="F166" s="20">
        <f>F165</f>
        <v>91.01100000000001</v>
      </c>
      <c r="G166" s="21" t="str">
        <f>G165</f>
        <v>27,94*3,9-(1,05*3,1*5+0,8*2,1)</v>
      </c>
      <c r="H166" s="13" t="s">
        <v>196</v>
      </c>
      <c r="I166" s="35"/>
      <c r="J166" s="34"/>
      <c r="K166" s="34"/>
      <c r="L166" s="32"/>
      <c r="M166" s="32"/>
    </row>
    <row r="167" spans="1:13" ht="60" x14ac:dyDescent="0.25">
      <c r="A167" s="164">
        <v>148</v>
      </c>
      <c r="B167" s="207"/>
      <c r="C167" s="12" t="s">
        <v>72</v>
      </c>
      <c r="D167" s="163" t="s">
        <v>177</v>
      </c>
      <c r="E167" s="112" t="s">
        <v>8</v>
      </c>
      <c r="F167" s="20">
        <f>1.05*3.1*5+0.8*2.1</f>
        <v>17.955000000000002</v>
      </c>
      <c r="G167" s="21" t="s">
        <v>233</v>
      </c>
      <c r="H167" s="13" t="s">
        <v>196</v>
      </c>
      <c r="I167" s="35"/>
      <c r="J167" s="34"/>
      <c r="K167" s="34"/>
      <c r="L167" s="32"/>
      <c r="M167" s="32"/>
    </row>
    <row r="168" spans="1:13" ht="60" x14ac:dyDescent="0.25">
      <c r="A168" s="164">
        <v>149</v>
      </c>
      <c r="B168" s="207"/>
      <c r="C168" s="160" t="s">
        <v>74</v>
      </c>
      <c r="D168" s="163" t="s">
        <v>75</v>
      </c>
      <c r="E168" s="112" t="s">
        <v>8</v>
      </c>
      <c r="F168" s="20">
        <v>47.76</v>
      </c>
      <c r="G168" s="21">
        <v>47.76</v>
      </c>
      <c r="H168" s="13" t="s">
        <v>196</v>
      </c>
      <c r="I168" s="35"/>
      <c r="J168" s="34"/>
      <c r="K168" s="34"/>
      <c r="L168" s="32"/>
      <c r="M168" s="32"/>
    </row>
    <row r="169" spans="1:13" ht="60" x14ac:dyDescent="0.25">
      <c r="A169" s="164">
        <v>150</v>
      </c>
      <c r="B169" s="207"/>
      <c r="C169" s="113" t="s">
        <v>76</v>
      </c>
      <c r="D169" s="179" t="s">
        <v>77</v>
      </c>
      <c r="E169" s="112" t="s">
        <v>8</v>
      </c>
      <c r="F169" s="20">
        <v>47.76</v>
      </c>
      <c r="G169" s="21">
        <v>47.76</v>
      </c>
      <c r="H169" s="13" t="s">
        <v>196</v>
      </c>
      <c r="I169" s="35"/>
      <c r="J169" s="34"/>
      <c r="K169" s="34"/>
      <c r="L169" s="32"/>
      <c r="M169" s="32"/>
    </row>
    <row r="170" spans="1:13" ht="45" x14ac:dyDescent="0.25">
      <c r="A170" s="164">
        <v>151</v>
      </c>
      <c r="B170" s="207" t="s">
        <v>103</v>
      </c>
      <c r="C170" s="12" t="s">
        <v>68</v>
      </c>
      <c r="D170" s="180" t="s">
        <v>69</v>
      </c>
      <c r="E170" s="112" t="s">
        <v>8</v>
      </c>
      <c r="F170" s="20">
        <f>24.6*3.9-F172</f>
        <v>90.509999999999991</v>
      </c>
      <c r="G170" s="21" t="s">
        <v>235</v>
      </c>
      <c r="H170" s="13" t="s">
        <v>196</v>
      </c>
      <c r="I170" s="35"/>
      <c r="J170" s="34"/>
      <c r="K170" s="34"/>
      <c r="L170" s="32"/>
      <c r="M170" s="32"/>
    </row>
    <row r="171" spans="1:13" ht="60" x14ac:dyDescent="0.25">
      <c r="A171" s="164">
        <v>152</v>
      </c>
      <c r="B171" s="207"/>
      <c r="C171" s="12" t="s">
        <v>70</v>
      </c>
      <c r="D171" s="180" t="s">
        <v>71</v>
      </c>
      <c r="E171" s="112" t="s">
        <v>8</v>
      </c>
      <c r="F171" s="20">
        <f>F170</f>
        <v>90.509999999999991</v>
      </c>
      <c r="G171" s="21" t="str">
        <f>G170</f>
        <v>24,6*3,9-(2,5*1,5+0,8*2,1)</v>
      </c>
      <c r="H171" s="13" t="s">
        <v>196</v>
      </c>
      <c r="I171" s="35"/>
      <c r="J171" s="34"/>
      <c r="K171" s="34"/>
      <c r="L171" s="32"/>
      <c r="M171" s="32"/>
    </row>
    <row r="172" spans="1:13" ht="60" x14ac:dyDescent="0.25">
      <c r="A172" s="164">
        <v>153</v>
      </c>
      <c r="B172" s="207"/>
      <c r="C172" s="12" t="s">
        <v>72</v>
      </c>
      <c r="D172" s="163" t="s">
        <v>177</v>
      </c>
      <c r="E172" s="112" t="s">
        <v>8</v>
      </c>
      <c r="F172" s="20">
        <f>2.5*1.5+0.8*2.1</f>
        <v>5.43</v>
      </c>
      <c r="G172" s="21" t="s">
        <v>236</v>
      </c>
      <c r="H172" s="13" t="s">
        <v>196</v>
      </c>
      <c r="I172" s="35"/>
      <c r="J172" s="34"/>
      <c r="K172" s="34"/>
      <c r="L172" s="32"/>
      <c r="M172" s="32"/>
    </row>
    <row r="173" spans="1:13" ht="60" x14ac:dyDescent="0.25">
      <c r="A173" s="164">
        <v>154</v>
      </c>
      <c r="B173" s="207"/>
      <c r="C173" s="160" t="s">
        <v>74</v>
      </c>
      <c r="D173" s="163" t="s">
        <v>75</v>
      </c>
      <c r="E173" s="112" t="s">
        <v>8</v>
      </c>
      <c r="F173" s="20">
        <v>37.729999999999997</v>
      </c>
      <c r="G173" s="21">
        <v>37.729999999999997</v>
      </c>
      <c r="H173" s="13" t="s">
        <v>196</v>
      </c>
      <c r="I173" s="35"/>
      <c r="J173" s="34"/>
      <c r="K173" s="34"/>
      <c r="L173" s="32"/>
      <c r="M173" s="32"/>
    </row>
    <row r="174" spans="1:13" ht="60" x14ac:dyDescent="0.25">
      <c r="A174" s="164">
        <v>155</v>
      </c>
      <c r="B174" s="207"/>
      <c r="C174" s="113" t="s">
        <v>76</v>
      </c>
      <c r="D174" s="179" t="s">
        <v>77</v>
      </c>
      <c r="E174" s="112" t="s">
        <v>8</v>
      </c>
      <c r="F174" s="20">
        <v>37.729999999999997</v>
      </c>
      <c r="G174" s="21">
        <v>37.729999999999997</v>
      </c>
      <c r="H174" s="13" t="s">
        <v>196</v>
      </c>
      <c r="I174" s="35"/>
      <c r="J174" s="34"/>
      <c r="K174" s="34"/>
      <c r="L174" s="32"/>
      <c r="M174" s="32"/>
    </row>
    <row r="175" spans="1:13" ht="45" x14ac:dyDescent="0.25">
      <c r="A175" s="164">
        <v>156</v>
      </c>
      <c r="B175" s="207" t="s">
        <v>178</v>
      </c>
      <c r="C175" s="12" t="s">
        <v>68</v>
      </c>
      <c r="D175" s="180" t="s">
        <v>69</v>
      </c>
      <c r="E175" s="112" t="s">
        <v>8</v>
      </c>
      <c r="F175" s="20">
        <f>16.9*3.9-F177-2*3.9</f>
        <v>56.429999999999993</v>
      </c>
      <c r="G175" s="21" t="s">
        <v>237</v>
      </c>
      <c r="H175" s="13" t="s">
        <v>196</v>
      </c>
      <c r="I175" s="35"/>
      <c r="J175" s="34"/>
      <c r="K175" s="34"/>
      <c r="L175" s="32"/>
      <c r="M175" s="32"/>
    </row>
    <row r="176" spans="1:13" ht="60" x14ac:dyDescent="0.25">
      <c r="A176" s="164">
        <v>157</v>
      </c>
      <c r="B176" s="207"/>
      <c r="C176" s="12" t="s">
        <v>70</v>
      </c>
      <c r="D176" s="180" t="s">
        <v>71</v>
      </c>
      <c r="E176" s="112" t="s">
        <v>8</v>
      </c>
      <c r="F176" s="20">
        <f>F175</f>
        <v>56.429999999999993</v>
      </c>
      <c r="G176" s="21" t="str">
        <f>G175</f>
        <v>16,9*3,9-0,8*2,1-2*3,9</v>
      </c>
      <c r="H176" s="13" t="s">
        <v>196</v>
      </c>
      <c r="I176" s="35"/>
      <c r="J176" s="34"/>
      <c r="K176" s="34"/>
      <c r="L176" s="32"/>
      <c r="M176" s="32"/>
    </row>
    <row r="177" spans="1:13" ht="60" x14ac:dyDescent="0.25">
      <c r="A177" s="164">
        <v>158</v>
      </c>
      <c r="B177" s="207"/>
      <c r="C177" s="12" t="s">
        <v>72</v>
      </c>
      <c r="D177" s="163" t="s">
        <v>177</v>
      </c>
      <c r="E177" s="112" t="s">
        <v>8</v>
      </c>
      <c r="F177" s="20">
        <f>0.8*2.1</f>
        <v>1.6800000000000002</v>
      </c>
      <c r="G177" s="21" t="s">
        <v>198</v>
      </c>
      <c r="H177" s="13" t="s">
        <v>196</v>
      </c>
      <c r="I177" s="35"/>
      <c r="J177" s="34"/>
      <c r="K177" s="34"/>
      <c r="L177" s="32"/>
      <c r="M177" s="32"/>
    </row>
    <row r="178" spans="1:13" ht="60" x14ac:dyDescent="0.25">
      <c r="A178" s="164">
        <v>159</v>
      </c>
      <c r="B178" s="207"/>
      <c r="C178" s="160" t="s">
        <v>74</v>
      </c>
      <c r="D178" s="163" t="s">
        <v>75</v>
      </c>
      <c r="E178" s="112" t="s">
        <v>8</v>
      </c>
      <c r="F178" s="20">
        <v>12.9</v>
      </c>
      <c r="G178" s="21">
        <v>12.9</v>
      </c>
      <c r="H178" s="13" t="s">
        <v>196</v>
      </c>
      <c r="I178" s="35"/>
      <c r="J178" s="34"/>
      <c r="K178" s="34"/>
      <c r="L178" s="32"/>
      <c r="M178" s="32"/>
    </row>
    <row r="179" spans="1:13" ht="60" x14ac:dyDescent="0.25">
      <c r="A179" s="164">
        <v>160</v>
      </c>
      <c r="B179" s="207"/>
      <c r="C179" s="113" t="s">
        <v>76</v>
      </c>
      <c r="D179" s="179" t="s">
        <v>77</v>
      </c>
      <c r="E179" s="112" t="s">
        <v>8</v>
      </c>
      <c r="F179" s="20">
        <v>12.9</v>
      </c>
      <c r="G179" s="21">
        <v>12.9</v>
      </c>
      <c r="H179" s="13" t="s">
        <v>196</v>
      </c>
      <c r="I179" s="35"/>
      <c r="J179" s="34"/>
      <c r="K179" s="34"/>
      <c r="L179" s="32"/>
      <c r="M179" s="32"/>
    </row>
    <row r="180" spans="1:13" ht="45" x14ac:dyDescent="0.25">
      <c r="A180" s="164">
        <v>161</v>
      </c>
      <c r="B180" s="207" t="s">
        <v>116</v>
      </c>
      <c r="C180" s="12" t="s">
        <v>68</v>
      </c>
      <c r="D180" s="180" t="s">
        <v>69</v>
      </c>
      <c r="E180" s="112" t="s">
        <v>8</v>
      </c>
      <c r="F180" s="20">
        <f>28.86*3.9-F182</f>
        <v>103.374</v>
      </c>
      <c r="G180" s="21" t="s">
        <v>239</v>
      </c>
      <c r="H180" s="13" t="s">
        <v>196</v>
      </c>
      <c r="I180" s="35"/>
      <c r="J180" s="34"/>
      <c r="K180" s="34"/>
      <c r="L180" s="32"/>
      <c r="M180" s="32"/>
    </row>
    <row r="181" spans="1:13" ht="60" x14ac:dyDescent="0.25">
      <c r="A181" s="164">
        <v>162</v>
      </c>
      <c r="B181" s="207"/>
      <c r="C181" s="12" t="s">
        <v>70</v>
      </c>
      <c r="D181" s="180" t="s">
        <v>71</v>
      </c>
      <c r="E181" s="112" t="s">
        <v>8</v>
      </c>
      <c r="F181" s="20">
        <f>F180</f>
        <v>103.374</v>
      </c>
      <c r="G181" s="21" t="str">
        <f>G180</f>
        <v>28,86*3,9-(2,5*1,5*2+0,8*2,1)</v>
      </c>
      <c r="H181" s="13" t="s">
        <v>196</v>
      </c>
      <c r="I181" s="35"/>
      <c r="J181" s="34"/>
      <c r="K181" s="34"/>
      <c r="L181" s="32"/>
      <c r="M181" s="32"/>
    </row>
    <row r="182" spans="1:13" ht="60" x14ac:dyDescent="0.25">
      <c r="A182" s="164">
        <v>163</v>
      </c>
      <c r="B182" s="207"/>
      <c r="C182" s="12" t="s">
        <v>72</v>
      </c>
      <c r="D182" s="163" t="s">
        <v>177</v>
      </c>
      <c r="E182" s="112" t="s">
        <v>8</v>
      </c>
      <c r="F182" s="20">
        <f>2.5*1.5*2+0.8*2.1</f>
        <v>9.18</v>
      </c>
      <c r="G182" s="21" t="s">
        <v>238</v>
      </c>
      <c r="H182" s="13" t="s">
        <v>196</v>
      </c>
      <c r="I182" s="35"/>
      <c r="J182" s="34"/>
      <c r="K182" s="34"/>
      <c r="L182" s="32"/>
      <c r="M182" s="32"/>
    </row>
    <row r="183" spans="1:13" ht="60" x14ac:dyDescent="0.25">
      <c r="A183" s="164">
        <v>164</v>
      </c>
      <c r="B183" s="207"/>
      <c r="C183" s="160" t="s">
        <v>74</v>
      </c>
      <c r="D183" s="163" t="s">
        <v>75</v>
      </c>
      <c r="E183" s="112" t="s">
        <v>8</v>
      </c>
      <c r="F183" s="20">
        <v>51.39</v>
      </c>
      <c r="G183" s="21">
        <v>51.39</v>
      </c>
      <c r="H183" s="13" t="s">
        <v>196</v>
      </c>
      <c r="I183" s="35"/>
      <c r="J183" s="34"/>
      <c r="K183" s="34"/>
      <c r="L183" s="32"/>
      <c r="M183" s="32"/>
    </row>
    <row r="184" spans="1:13" ht="60" x14ac:dyDescent="0.25">
      <c r="A184" s="164">
        <v>165</v>
      </c>
      <c r="B184" s="207"/>
      <c r="C184" s="113" t="s">
        <v>76</v>
      </c>
      <c r="D184" s="179" t="s">
        <v>77</v>
      </c>
      <c r="E184" s="112" t="s">
        <v>8</v>
      </c>
      <c r="F184" s="20">
        <v>51.39</v>
      </c>
      <c r="G184" s="21">
        <v>51.39</v>
      </c>
      <c r="H184" s="13" t="s">
        <v>196</v>
      </c>
      <c r="I184" s="35"/>
      <c r="J184" s="34"/>
      <c r="K184" s="34"/>
      <c r="L184" s="32"/>
      <c r="M184" s="32"/>
    </row>
    <row r="185" spans="1:13" ht="45" x14ac:dyDescent="0.25">
      <c r="A185" s="164">
        <v>166</v>
      </c>
      <c r="B185" s="207" t="s">
        <v>179</v>
      </c>
      <c r="C185" s="12" t="s">
        <v>68</v>
      </c>
      <c r="D185" s="180" t="s">
        <v>69</v>
      </c>
      <c r="E185" s="112" t="s">
        <v>8</v>
      </c>
      <c r="F185" s="20">
        <f>14.6*3-F187</f>
        <v>39.199999999999996</v>
      </c>
      <c r="G185" s="21" t="s">
        <v>240</v>
      </c>
      <c r="H185" s="13" t="s">
        <v>196</v>
      </c>
      <c r="I185" s="35"/>
      <c r="J185" s="34"/>
      <c r="K185" s="34"/>
      <c r="L185" s="32"/>
      <c r="M185" s="32"/>
    </row>
    <row r="186" spans="1:13" ht="60" x14ac:dyDescent="0.25">
      <c r="A186" s="164">
        <v>167</v>
      </c>
      <c r="B186" s="207"/>
      <c r="C186" s="12" t="s">
        <v>70</v>
      </c>
      <c r="D186" s="180" t="s">
        <v>71</v>
      </c>
      <c r="E186" s="112" t="s">
        <v>8</v>
      </c>
      <c r="F186" s="20">
        <f>F185</f>
        <v>39.199999999999996</v>
      </c>
      <c r="G186" s="21" t="str">
        <f>G185</f>
        <v>14,6*3-(1*1+1,6*1,2+0,8*2,1)</v>
      </c>
      <c r="H186" s="13" t="s">
        <v>196</v>
      </c>
      <c r="I186" s="35"/>
      <c r="J186" s="34"/>
      <c r="K186" s="34"/>
      <c r="L186" s="32"/>
      <c r="M186" s="32"/>
    </row>
    <row r="187" spans="1:13" ht="60" x14ac:dyDescent="0.25">
      <c r="A187" s="164">
        <v>168</v>
      </c>
      <c r="B187" s="207"/>
      <c r="C187" s="12" t="s">
        <v>72</v>
      </c>
      <c r="D187" s="163" t="s">
        <v>177</v>
      </c>
      <c r="E187" s="112" t="s">
        <v>8</v>
      </c>
      <c r="F187" s="20">
        <f>1*1+1.6*1.2+0.8*2.1</f>
        <v>4.5999999999999996</v>
      </c>
      <c r="G187" s="21" t="s">
        <v>241</v>
      </c>
      <c r="H187" s="13" t="s">
        <v>196</v>
      </c>
      <c r="I187" s="35"/>
      <c r="J187" s="34"/>
      <c r="K187" s="34"/>
      <c r="L187" s="32"/>
      <c r="M187" s="32"/>
    </row>
    <row r="188" spans="1:13" ht="60" x14ac:dyDescent="0.25">
      <c r="A188" s="164">
        <v>169</v>
      </c>
      <c r="B188" s="207"/>
      <c r="C188" s="160" t="s">
        <v>74</v>
      </c>
      <c r="D188" s="163" t="s">
        <v>75</v>
      </c>
      <c r="E188" s="112" t="s">
        <v>8</v>
      </c>
      <c r="F188" s="20">
        <v>13.07</v>
      </c>
      <c r="G188" s="21">
        <v>13.07</v>
      </c>
      <c r="H188" s="13" t="s">
        <v>196</v>
      </c>
      <c r="I188" s="35"/>
      <c r="J188" s="34"/>
      <c r="K188" s="34"/>
      <c r="L188" s="32"/>
      <c r="M188" s="32"/>
    </row>
    <row r="189" spans="1:13" ht="60" x14ac:dyDescent="0.25">
      <c r="A189" s="164">
        <v>170</v>
      </c>
      <c r="B189" s="207"/>
      <c r="C189" s="113" t="s">
        <v>76</v>
      </c>
      <c r="D189" s="179" t="s">
        <v>77</v>
      </c>
      <c r="E189" s="112" t="s">
        <v>8</v>
      </c>
      <c r="F189" s="20">
        <v>13.07</v>
      </c>
      <c r="G189" s="21">
        <v>13.07</v>
      </c>
      <c r="H189" s="13" t="s">
        <v>196</v>
      </c>
      <c r="I189" s="35"/>
      <c r="J189" s="34"/>
      <c r="K189" s="34"/>
      <c r="L189" s="32"/>
      <c r="M189" s="32"/>
    </row>
    <row r="190" spans="1:13" ht="45" x14ac:dyDescent="0.25">
      <c r="A190" s="164">
        <v>171</v>
      </c>
      <c r="B190" s="207" t="s">
        <v>180</v>
      </c>
      <c r="C190" s="12" t="s">
        <v>68</v>
      </c>
      <c r="D190" s="180" t="s">
        <v>69</v>
      </c>
      <c r="E190" s="112" t="s">
        <v>8</v>
      </c>
      <c r="F190" s="20">
        <f>8.99*2.2-F192</f>
        <v>17.658000000000001</v>
      </c>
      <c r="G190" s="21" t="s">
        <v>242</v>
      </c>
      <c r="H190" s="13" t="s">
        <v>196</v>
      </c>
      <c r="I190" s="35"/>
      <c r="J190" s="34"/>
      <c r="K190" s="34"/>
      <c r="L190" s="32"/>
      <c r="M190" s="32"/>
    </row>
    <row r="191" spans="1:13" ht="60" x14ac:dyDescent="0.25">
      <c r="A191" s="164">
        <v>172</v>
      </c>
      <c r="B191" s="207"/>
      <c r="C191" s="12" t="s">
        <v>70</v>
      </c>
      <c r="D191" s="180" t="s">
        <v>71</v>
      </c>
      <c r="E191" s="112" t="s">
        <v>8</v>
      </c>
      <c r="F191" s="20">
        <f>F190</f>
        <v>17.658000000000001</v>
      </c>
      <c r="G191" s="21" t="str">
        <f>G190</f>
        <v>8,99*2,2-(0,7*2,1+0,5*1,3)</v>
      </c>
      <c r="H191" s="13" t="s">
        <v>196</v>
      </c>
      <c r="I191" s="35"/>
      <c r="J191" s="34"/>
      <c r="K191" s="34"/>
      <c r="L191" s="32"/>
      <c r="M191" s="32"/>
    </row>
    <row r="192" spans="1:13" ht="60" x14ac:dyDescent="0.25">
      <c r="A192" s="164">
        <v>173</v>
      </c>
      <c r="B192" s="207"/>
      <c r="C192" s="12" t="s">
        <v>72</v>
      </c>
      <c r="D192" s="163" t="s">
        <v>177</v>
      </c>
      <c r="E192" s="112" t="s">
        <v>8</v>
      </c>
      <c r="F192" s="20">
        <f>0.7*2.1+0.5*1.3</f>
        <v>2.12</v>
      </c>
      <c r="G192" s="21" t="s">
        <v>243</v>
      </c>
      <c r="H192" s="13" t="s">
        <v>196</v>
      </c>
      <c r="I192" s="35"/>
      <c r="J192" s="34"/>
      <c r="K192" s="34"/>
      <c r="L192" s="32"/>
      <c r="M192" s="32"/>
    </row>
    <row r="193" spans="1:13" ht="60" x14ac:dyDescent="0.25">
      <c r="A193" s="164">
        <v>174</v>
      </c>
      <c r="B193" s="207"/>
      <c r="C193" s="160" t="s">
        <v>74</v>
      </c>
      <c r="D193" s="163" t="s">
        <v>75</v>
      </c>
      <c r="E193" s="112" t="s">
        <v>8</v>
      </c>
      <c r="F193" s="20">
        <v>4.24</v>
      </c>
      <c r="G193" s="21">
        <v>4.24</v>
      </c>
      <c r="H193" s="13" t="s">
        <v>196</v>
      </c>
      <c r="I193" s="35"/>
      <c r="J193" s="34"/>
      <c r="K193" s="34"/>
      <c r="L193" s="32"/>
      <c r="M193" s="32"/>
    </row>
    <row r="194" spans="1:13" ht="60" x14ac:dyDescent="0.25">
      <c r="A194" s="164">
        <v>175</v>
      </c>
      <c r="B194" s="207"/>
      <c r="C194" s="113" t="s">
        <v>76</v>
      </c>
      <c r="D194" s="179" t="s">
        <v>77</v>
      </c>
      <c r="E194" s="112" t="s">
        <v>8</v>
      </c>
      <c r="F194" s="20">
        <v>4.24</v>
      </c>
      <c r="G194" s="21">
        <v>4.24</v>
      </c>
      <c r="H194" s="13" t="s">
        <v>196</v>
      </c>
      <c r="I194" s="35"/>
      <c r="J194" s="34"/>
      <c r="K194" s="34"/>
      <c r="L194" s="32"/>
      <c r="M194" s="32"/>
    </row>
    <row r="195" spans="1:13" ht="45" x14ac:dyDescent="0.25">
      <c r="A195" s="164">
        <v>176</v>
      </c>
      <c r="B195" s="207" t="s">
        <v>181</v>
      </c>
      <c r="C195" s="12" t="s">
        <v>68</v>
      </c>
      <c r="D195" s="180" t="s">
        <v>69</v>
      </c>
      <c r="E195" s="112" t="s">
        <v>8</v>
      </c>
      <c r="F195" s="20">
        <f>6.59*2.2-F197</f>
        <v>13.028</v>
      </c>
      <c r="G195" s="21" t="s">
        <v>244</v>
      </c>
      <c r="H195" s="13" t="s">
        <v>196</v>
      </c>
      <c r="I195" s="35"/>
      <c r="J195" s="34"/>
      <c r="K195" s="34"/>
      <c r="L195" s="32"/>
      <c r="M195" s="32"/>
    </row>
    <row r="196" spans="1:13" ht="60" x14ac:dyDescent="0.25">
      <c r="A196" s="164">
        <v>177</v>
      </c>
      <c r="B196" s="207"/>
      <c r="C196" s="12" t="s">
        <v>70</v>
      </c>
      <c r="D196" s="180" t="s">
        <v>71</v>
      </c>
      <c r="E196" s="112" t="s">
        <v>8</v>
      </c>
      <c r="F196" s="20">
        <f>F195</f>
        <v>13.028</v>
      </c>
      <c r="G196" s="21" t="str">
        <f>G195</f>
        <v>6,59*2,2-0,7*2,1</v>
      </c>
      <c r="H196" s="13" t="s">
        <v>196</v>
      </c>
      <c r="I196" s="35"/>
      <c r="J196" s="34"/>
      <c r="K196" s="34"/>
      <c r="L196" s="32"/>
      <c r="M196" s="32"/>
    </row>
    <row r="197" spans="1:13" ht="60" x14ac:dyDescent="0.25">
      <c r="A197" s="164">
        <v>178</v>
      </c>
      <c r="B197" s="207"/>
      <c r="C197" s="12" t="s">
        <v>72</v>
      </c>
      <c r="D197" s="163" t="s">
        <v>177</v>
      </c>
      <c r="E197" s="112" t="s">
        <v>8</v>
      </c>
      <c r="F197" s="20">
        <f>0.7*2.1</f>
        <v>1.47</v>
      </c>
      <c r="G197" s="21" t="s">
        <v>245</v>
      </c>
      <c r="H197" s="13" t="s">
        <v>196</v>
      </c>
      <c r="I197" s="35"/>
      <c r="J197" s="34"/>
      <c r="K197" s="34"/>
      <c r="L197" s="32"/>
      <c r="M197" s="32"/>
    </row>
    <row r="198" spans="1:13" ht="60" x14ac:dyDescent="0.25">
      <c r="A198" s="164">
        <v>179</v>
      </c>
      <c r="B198" s="207"/>
      <c r="C198" s="160" t="s">
        <v>74</v>
      </c>
      <c r="D198" s="163" t="s">
        <v>75</v>
      </c>
      <c r="E198" s="112" t="s">
        <v>8</v>
      </c>
      <c r="F198" s="20">
        <v>2.7</v>
      </c>
      <c r="G198" s="21">
        <v>2.7</v>
      </c>
      <c r="H198" s="13" t="s">
        <v>196</v>
      </c>
      <c r="I198" s="35"/>
      <c r="J198" s="34"/>
      <c r="K198" s="34"/>
      <c r="L198" s="32"/>
      <c r="M198" s="32"/>
    </row>
    <row r="199" spans="1:13" ht="60" x14ac:dyDescent="0.25">
      <c r="A199" s="164">
        <v>180</v>
      </c>
      <c r="B199" s="207"/>
      <c r="C199" s="113" t="s">
        <v>76</v>
      </c>
      <c r="D199" s="179" t="s">
        <v>77</v>
      </c>
      <c r="E199" s="112" t="s">
        <v>8</v>
      </c>
      <c r="F199" s="20">
        <v>2.7</v>
      </c>
      <c r="G199" s="21">
        <v>2.7</v>
      </c>
      <c r="H199" s="13" t="s">
        <v>196</v>
      </c>
      <c r="I199" s="35"/>
      <c r="J199" s="34"/>
      <c r="K199" s="34"/>
      <c r="L199" s="32"/>
      <c r="M199" s="32"/>
    </row>
    <row r="200" spans="1:13" ht="60" x14ac:dyDescent="0.25">
      <c r="A200" s="164">
        <v>181</v>
      </c>
      <c r="B200" s="207" t="s">
        <v>182</v>
      </c>
      <c r="C200" s="12" t="s">
        <v>72</v>
      </c>
      <c r="D200" s="163" t="s">
        <v>177</v>
      </c>
      <c r="E200" s="112" t="s">
        <v>8</v>
      </c>
      <c r="F200" s="20">
        <f>0.8*2.1+1.8*0.3</f>
        <v>2.2200000000000002</v>
      </c>
      <c r="G200" s="21" t="s">
        <v>246</v>
      </c>
      <c r="H200" s="13" t="s">
        <v>196</v>
      </c>
      <c r="I200" s="35"/>
      <c r="J200" s="34"/>
      <c r="K200" s="34"/>
      <c r="L200" s="32"/>
      <c r="M200" s="32"/>
    </row>
    <row r="201" spans="1:13" ht="60" x14ac:dyDescent="0.25">
      <c r="A201" s="164">
        <v>182</v>
      </c>
      <c r="B201" s="207"/>
      <c r="C201" s="160" t="s">
        <v>74</v>
      </c>
      <c r="D201" s="163" t="s">
        <v>75</v>
      </c>
      <c r="E201" s="112" t="s">
        <v>8</v>
      </c>
      <c r="F201" s="20">
        <v>2.5499999999999998</v>
      </c>
      <c r="G201" s="21">
        <v>2.5499999999999998</v>
      </c>
      <c r="H201" s="13" t="s">
        <v>196</v>
      </c>
      <c r="I201" s="35"/>
      <c r="J201" s="34"/>
      <c r="K201" s="34"/>
      <c r="L201" s="32"/>
      <c r="M201" s="32"/>
    </row>
    <row r="202" spans="1:13" ht="60" x14ac:dyDescent="0.25">
      <c r="A202" s="164">
        <v>183</v>
      </c>
      <c r="B202" s="207"/>
      <c r="C202" s="113" t="s">
        <v>76</v>
      </c>
      <c r="D202" s="179" t="s">
        <v>77</v>
      </c>
      <c r="E202" s="112" t="s">
        <v>8</v>
      </c>
      <c r="F202" s="20">
        <v>2.5499999999999998</v>
      </c>
      <c r="G202" s="21">
        <v>2.5499999999999998</v>
      </c>
      <c r="H202" s="13" t="s">
        <v>196</v>
      </c>
      <c r="I202" s="35"/>
      <c r="J202" s="34"/>
      <c r="K202" s="34"/>
      <c r="L202" s="32"/>
      <c r="M202" s="32"/>
    </row>
    <row r="203" spans="1:13" ht="45" x14ac:dyDescent="0.25">
      <c r="A203" s="164">
        <v>184</v>
      </c>
      <c r="B203" s="207" t="s">
        <v>183</v>
      </c>
      <c r="C203" s="12" t="s">
        <v>68</v>
      </c>
      <c r="D203" s="180" t="s">
        <v>69</v>
      </c>
      <c r="E203" s="112" t="s">
        <v>8</v>
      </c>
      <c r="F203" s="20">
        <f>12.12*3.5-F205</f>
        <v>31.739999999999995</v>
      </c>
      <c r="G203" s="21" t="s">
        <v>247</v>
      </c>
      <c r="H203" s="13" t="s">
        <v>196</v>
      </c>
      <c r="I203" s="35"/>
      <c r="J203" s="34"/>
      <c r="K203" s="34"/>
      <c r="L203" s="32"/>
      <c r="M203" s="32"/>
    </row>
    <row r="204" spans="1:13" ht="60" x14ac:dyDescent="0.25">
      <c r="A204" s="164">
        <v>185</v>
      </c>
      <c r="B204" s="207"/>
      <c r="C204" s="12" t="s">
        <v>70</v>
      </c>
      <c r="D204" s="180" t="s">
        <v>71</v>
      </c>
      <c r="E204" s="112" t="s">
        <v>8</v>
      </c>
      <c r="F204" s="20">
        <f>F203</f>
        <v>31.739999999999995</v>
      </c>
      <c r="G204" s="21" t="str">
        <f>G203</f>
        <v>12,12*3,5-(2*3*1,5+0,8*2,1)</v>
      </c>
      <c r="H204" s="13" t="s">
        <v>196</v>
      </c>
      <c r="I204" s="35"/>
      <c r="J204" s="34"/>
      <c r="K204" s="34"/>
      <c r="L204" s="32"/>
      <c r="M204" s="32"/>
    </row>
    <row r="205" spans="1:13" ht="60" x14ac:dyDescent="0.25">
      <c r="A205" s="164">
        <v>186</v>
      </c>
      <c r="B205" s="207"/>
      <c r="C205" s="12" t="s">
        <v>72</v>
      </c>
      <c r="D205" s="163" t="s">
        <v>177</v>
      </c>
      <c r="E205" s="112" t="s">
        <v>8</v>
      </c>
      <c r="F205" s="20">
        <f>2*3*1.5+0.8*2.1</f>
        <v>10.68</v>
      </c>
      <c r="G205" s="21" t="s">
        <v>248</v>
      </c>
      <c r="H205" s="13" t="s">
        <v>196</v>
      </c>
      <c r="I205" s="35"/>
      <c r="J205" s="34"/>
      <c r="K205" s="34"/>
      <c r="L205" s="32"/>
      <c r="M205" s="32"/>
    </row>
    <row r="206" spans="1:13" ht="60" x14ac:dyDescent="0.25">
      <c r="A206" s="164">
        <v>187</v>
      </c>
      <c r="B206" s="207"/>
      <c r="C206" s="160" t="s">
        <v>74</v>
      </c>
      <c r="D206" s="163" t="s">
        <v>75</v>
      </c>
      <c r="E206" s="112" t="s">
        <v>8</v>
      </c>
      <c r="F206" s="20">
        <v>9.18</v>
      </c>
      <c r="G206" s="21">
        <v>9.18</v>
      </c>
      <c r="H206" s="13" t="s">
        <v>196</v>
      </c>
      <c r="I206" s="35"/>
      <c r="J206" s="34"/>
      <c r="K206" s="34"/>
      <c r="L206" s="32"/>
      <c r="M206" s="32"/>
    </row>
    <row r="207" spans="1:13" ht="60" x14ac:dyDescent="0.25">
      <c r="A207" s="164">
        <v>188</v>
      </c>
      <c r="B207" s="207"/>
      <c r="C207" s="113" t="s">
        <v>76</v>
      </c>
      <c r="D207" s="179" t="s">
        <v>77</v>
      </c>
      <c r="E207" s="112" t="s">
        <v>8</v>
      </c>
      <c r="F207" s="20">
        <v>9.18</v>
      </c>
      <c r="G207" s="21">
        <v>9.18</v>
      </c>
      <c r="H207" s="13" t="s">
        <v>196</v>
      </c>
      <c r="I207" s="35"/>
      <c r="J207" s="34"/>
      <c r="K207" s="34"/>
      <c r="L207" s="32"/>
      <c r="M207" s="32"/>
    </row>
    <row r="208" spans="1:13" ht="60" x14ac:dyDescent="0.25">
      <c r="A208" s="164">
        <v>189</v>
      </c>
      <c r="B208" s="207" t="s">
        <v>123</v>
      </c>
      <c r="C208" s="12" t="s">
        <v>72</v>
      </c>
      <c r="D208" s="163" t="s">
        <v>177</v>
      </c>
      <c r="E208" s="112" t="s">
        <v>8</v>
      </c>
      <c r="F208" s="20">
        <f>3.15+0.8*2.1*2</f>
        <v>6.51</v>
      </c>
      <c r="G208" s="21" t="s">
        <v>249</v>
      </c>
      <c r="H208" s="13" t="s">
        <v>196</v>
      </c>
      <c r="I208" s="35"/>
      <c r="J208" s="34"/>
      <c r="K208" s="34"/>
      <c r="L208" s="32"/>
      <c r="M208" s="32"/>
    </row>
    <row r="209" spans="1:13" ht="60" x14ac:dyDescent="0.25">
      <c r="A209" s="164">
        <v>190</v>
      </c>
      <c r="B209" s="207"/>
      <c r="C209" s="160" t="s">
        <v>74</v>
      </c>
      <c r="D209" s="163" t="s">
        <v>75</v>
      </c>
      <c r="E209" s="112" t="s">
        <v>8</v>
      </c>
      <c r="F209" s="20">
        <v>21.91</v>
      </c>
      <c r="G209" s="21">
        <v>21.91</v>
      </c>
      <c r="H209" s="13" t="s">
        <v>196</v>
      </c>
      <c r="I209" s="35"/>
      <c r="J209" s="34"/>
      <c r="K209" s="34"/>
      <c r="L209" s="32"/>
      <c r="M209" s="32"/>
    </row>
    <row r="210" spans="1:13" ht="60" x14ac:dyDescent="0.25">
      <c r="A210" s="164">
        <v>191</v>
      </c>
      <c r="B210" s="207"/>
      <c r="C210" s="113" t="s">
        <v>76</v>
      </c>
      <c r="D210" s="179" t="s">
        <v>77</v>
      </c>
      <c r="E210" s="112" t="s">
        <v>8</v>
      </c>
      <c r="F210" s="20">
        <v>21.91</v>
      </c>
      <c r="G210" s="21">
        <v>21.91</v>
      </c>
      <c r="H210" s="13" t="s">
        <v>196</v>
      </c>
      <c r="I210" s="35"/>
      <c r="J210" s="34"/>
      <c r="K210" s="34"/>
      <c r="L210" s="32"/>
      <c r="M210" s="32"/>
    </row>
    <row r="211" spans="1:13" ht="60" x14ac:dyDescent="0.25">
      <c r="A211" s="164">
        <v>192</v>
      </c>
      <c r="B211" s="207" t="s">
        <v>164</v>
      </c>
      <c r="C211" s="12" t="s">
        <v>72</v>
      </c>
      <c r="D211" s="163" t="s">
        <v>177</v>
      </c>
      <c r="E211" s="112" t="s">
        <v>8</v>
      </c>
      <c r="F211" s="20">
        <f>1*1+0.8*2.1</f>
        <v>2.68</v>
      </c>
      <c r="G211" s="21" t="s">
        <v>250</v>
      </c>
      <c r="H211" s="13" t="s">
        <v>196</v>
      </c>
      <c r="I211" s="35"/>
      <c r="J211" s="34"/>
      <c r="K211" s="34"/>
      <c r="L211" s="32"/>
      <c r="M211" s="32"/>
    </row>
    <row r="212" spans="1:13" ht="60" x14ac:dyDescent="0.25">
      <c r="A212" s="164">
        <v>193</v>
      </c>
      <c r="B212" s="207"/>
      <c r="C212" s="160" t="s">
        <v>74</v>
      </c>
      <c r="D212" s="163" t="s">
        <v>75</v>
      </c>
      <c r="E212" s="112" t="s">
        <v>8</v>
      </c>
      <c r="F212" s="20">
        <v>7.93</v>
      </c>
      <c r="G212" s="21">
        <v>7.93</v>
      </c>
      <c r="H212" s="13" t="s">
        <v>196</v>
      </c>
      <c r="I212" s="35"/>
      <c r="J212" s="34"/>
      <c r="K212" s="34"/>
      <c r="L212" s="32"/>
      <c r="M212" s="32"/>
    </row>
    <row r="213" spans="1:13" ht="60" x14ac:dyDescent="0.25">
      <c r="A213" s="164">
        <v>194</v>
      </c>
      <c r="B213" s="207"/>
      <c r="C213" s="113" t="s">
        <v>76</v>
      </c>
      <c r="D213" s="179" t="s">
        <v>77</v>
      </c>
      <c r="E213" s="112" t="s">
        <v>8</v>
      </c>
      <c r="F213" s="20">
        <v>7.93</v>
      </c>
      <c r="G213" s="21">
        <v>7.93</v>
      </c>
      <c r="H213" s="13" t="s">
        <v>196</v>
      </c>
      <c r="I213" s="35"/>
      <c r="J213" s="34"/>
      <c r="K213" s="34"/>
      <c r="L213" s="32"/>
      <c r="M213" s="32"/>
    </row>
    <row r="214" spans="1:13" ht="45" x14ac:dyDescent="0.25">
      <c r="A214" s="164">
        <v>195</v>
      </c>
      <c r="B214" s="207" t="s">
        <v>184</v>
      </c>
      <c r="C214" s="12" t="s">
        <v>68</v>
      </c>
      <c r="D214" s="180" t="s">
        <v>69</v>
      </c>
      <c r="E214" s="112" t="s">
        <v>8</v>
      </c>
      <c r="F214" s="20">
        <f>13.9*3-F216</f>
        <v>35.520000000000003</v>
      </c>
      <c r="G214" s="21" t="s">
        <v>251</v>
      </c>
      <c r="H214" s="13" t="s">
        <v>196</v>
      </c>
      <c r="I214" s="35"/>
      <c r="J214" s="34"/>
      <c r="K214" s="34"/>
      <c r="L214" s="32"/>
      <c r="M214" s="32"/>
    </row>
    <row r="215" spans="1:13" ht="60" x14ac:dyDescent="0.25">
      <c r="A215" s="164">
        <v>196</v>
      </c>
      <c r="B215" s="207"/>
      <c r="C215" s="12" t="s">
        <v>70</v>
      </c>
      <c r="D215" s="180" t="s">
        <v>71</v>
      </c>
      <c r="E215" s="112" t="s">
        <v>8</v>
      </c>
      <c r="F215" s="20">
        <f>F214</f>
        <v>35.520000000000003</v>
      </c>
      <c r="G215" s="21" t="str">
        <f>G214</f>
        <v>13,9*3-(3*1,5+0,8*2,1)</v>
      </c>
      <c r="H215" s="13" t="s">
        <v>196</v>
      </c>
      <c r="I215" s="35"/>
      <c r="J215" s="34"/>
      <c r="K215" s="34"/>
      <c r="L215" s="32"/>
      <c r="M215" s="32"/>
    </row>
    <row r="216" spans="1:13" ht="60" x14ac:dyDescent="0.25">
      <c r="A216" s="164">
        <v>197</v>
      </c>
      <c r="B216" s="207"/>
      <c r="C216" s="12" t="s">
        <v>72</v>
      </c>
      <c r="D216" s="163" t="s">
        <v>177</v>
      </c>
      <c r="E216" s="112" t="s">
        <v>8</v>
      </c>
      <c r="F216" s="20">
        <f>3*1.5+0.8*2.1</f>
        <v>6.18</v>
      </c>
      <c r="G216" s="21" t="s">
        <v>252</v>
      </c>
      <c r="H216" s="13" t="s">
        <v>196</v>
      </c>
      <c r="I216" s="35"/>
      <c r="J216" s="34"/>
      <c r="K216" s="34"/>
      <c r="L216" s="32"/>
      <c r="M216" s="32"/>
    </row>
    <row r="217" spans="1:13" ht="60" x14ac:dyDescent="0.25">
      <c r="A217" s="164">
        <v>198</v>
      </c>
      <c r="B217" s="207"/>
      <c r="C217" s="160" t="s">
        <v>74</v>
      </c>
      <c r="D217" s="163" t="s">
        <v>75</v>
      </c>
      <c r="E217" s="112" t="s">
        <v>8</v>
      </c>
      <c r="F217" s="20">
        <v>11.97</v>
      </c>
      <c r="G217" s="21">
        <v>11.97</v>
      </c>
      <c r="H217" s="13" t="s">
        <v>196</v>
      </c>
      <c r="I217" s="35"/>
      <c r="J217" s="34"/>
      <c r="K217" s="34"/>
      <c r="L217" s="32"/>
      <c r="M217" s="32"/>
    </row>
    <row r="218" spans="1:13" ht="60" x14ac:dyDescent="0.25">
      <c r="A218" s="164">
        <v>199</v>
      </c>
      <c r="B218" s="207"/>
      <c r="C218" s="113" t="s">
        <v>76</v>
      </c>
      <c r="D218" s="179" t="s">
        <v>77</v>
      </c>
      <c r="E218" s="112" t="s">
        <v>8</v>
      </c>
      <c r="F218" s="20">
        <v>11.97</v>
      </c>
      <c r="G218" s="21">
        <v>11.97</v>
      </c>
      <c r="H218" s="13" t="s">
        <v>196</v>
      </c>
      <c r="I218" s="35"/>
      <c r="J218" s="34"/>
      <c r="K218" s="34"/>
      <c r="L218" s="32"/>
      <c r="M218" s="32"/>
    </row>
    <row r="219" spans="1:13" ht="45" x14ac:dyDescent="0.25">
      <c r="A219" s="164">
        <v>200</v>
      </c>
      <c r="B219" s="207" t="s">
        <v>185</v>
      </c>
      <c r="C219" s="12" t="s">
        <v>68</v>
      </c>
      <c r="D219" s="180" t="s">
        <v>69</v>
      </c>
      <c r="E219" s="112" t="s">
        <v>8</v>
      </c>
      <c r="F219" s="20">
        <f>17.28*2.8-F221</f>
        <v>45.204000000000001</v>
      </c>
      <c r="G219" s="21" t="s">
        <v>253</v>
      </c>
      <c r="H219" s="13" t="s">
        <v>196</v>
      </c>
      <c r="I219" s="35"/>
      <c r="J219" s="34"/>
      <c r="K219" s="34"/>
      <c r="L219" s="32"/>
      <c r="M219" s="32"/>
    </row>
    <row r="220" spans="1:13" ht="60" x14ac:dyDescent="0.25">
      <c r="A220" s="164">
        <v>201</v>
      </c>
      <c r="B220" s="207"/>
      <c r="C220" s="12" t="s">
        <v>70</v>
      </c>
      <c r="D220" s="180" t="s">
        <v>71</v>
      </c>
      <c r="E220" s="112" t="s">
        <v>8</v>
      </c>
      <c r="F220" s="20">
        <f>F219</f>
        <v>45.204000000000001</v>
      </c>
      <c r="G220" s="21" t="str">
        <f>G219</f>
        <v>17,28*2,8-(1,5*1+0,8*2,1)</v>
      </c>
      <c r="H220" s="13" t="s">
        <v>196</v>
      </c>
      <c r="I220" s="35"/>
      <c r="J220" s="34"/>
      <c r="K220" s="34"/>
      <c r="L220" s="32"/>
      <c r="M220" s="32"/>
    </row>
    <row r="221" spans="1:13" ht="60" x14ac:dyDescent="0.25">
      <c r="A221" s="164">
        <v>202</v>
      </c>
      <c r="B221" s="207"/>
      <c r="C221" s="12" t="s">
        <v>72</v>
      </c>
      <c r="D221" s="163" t="s">
        <v>177</v>
      </c>
      <c r="E221" s="112" t="s">
        <v>8</v>
      </c>
      <c r="F221" s="20">
        <f>1.5*1+0.8*2.1</f>
        <v>3.18</v>
      </c>
      <c r="G221" s="21" t="s">
        <v>254</v>
      </c>
      <c r="H221" s="13" t="s">
        <v>196</v>
      </c>
      <c r="I221" s="35"/>
      <c r="J221" s="34"/>
      <c r="K221" s="34"/>
      <c r="L221" s="32"/>
      <c r="M221" s="32"/>
    </row>
    <row r="222" spans="1:13" ht="60" x14ac:dyDescent="0.25">
      <c r="A222" s="164">
        <v>203</v>
      </c>
      <c r="B222" s="207"/>
      <c r="C222" s="160" t="s">
        <v>74</v>
      </c>
      <c r="D222" s="163" t="s">
        <v>75</v>
      </c>
      <c r="E222" s="112" t="s">
        <v>8</v>
      </c>
      <c r="F222" s="20">
        <v>12.6</v>
      </c>
      <c r="G222" s="21">
        <v>12.6</v>
      </c>
      <c r="H222" s="13" t="s">
        <v>196</v>
      </c>
      <c r="I222" s="35"/>
      <c r="J222" s="34"/>
      <c r="K222" s="34"/>
      <c r="L222" s="32"/>
      <c r="M222" s="32"/>
    </row>
    <row r="223" spans="1:13" ht="60" x14ac:dyDescent="0.25">
      <c r="A223" s="164">
        <v>204</v>
      </c>
      <c r="B223" s="207"/>
      <c r="C223" s="113" t="s">
        <v>76</v>
      </c>
      <c r="D223" s="179" t="s">
        <v>77</v>
      </c>
      <c r="E223" s="112" t="s">
        <v>8</v>
      </c>
      <c r="F223" s="20">
        <v>12.6</v>
      </c>
      <c r="G223" s="21">
        <v>12.6</v>
      </c>
      <c r="H223" s="13" t="s">
        <v>196</v>
      </c>
      <c r="I223" s="35"/>
      <c r="J223" s="34"/>
      <c r="K223" s="34"/>
      <c r="L223" s="32"/>
      <c r="M223" s="32"/>
    </row>
    <row r="224" spans="1:13" ht="60" x14ac:dyDescent="0.25">
      <c r="A224" s="164">
        <v>205</v>
      </c>
      <c r="B224" s="207" t="s">
        <v>186</v>
      </c>
      <c r="C224" s="12" t="s">
        <v>72</v>
      </c>
      <c r="D224" s="163" t="s">
        <v>177</v>
      </c>
      <c r="E224" s="112" t="s">
        <v>8</v>
      </c>
      <c r="F224" s="20">
        <f>1.4*0.3+0.6*2.1</f>
        <v>1.68</v>
      </c>
      <c r="G224" s="21" t="s">
        <v>255</v>
      </c>
      <c r="H224" s="13" t="s">
        <v>196</v>
      </c>
      <c r="I224" s="35"/>
      <c r="J224" s="34"/>
      <c r="K224" s="34"/>
      <c r="L224" s="32"/>
      <c r="M224" s="32"/>
    </row>
    <row r="225" spans="1:13" ht="60" x14ac:dyDescent="0.25">
      <c r="A225" s="164">
        <v>206</v>
      </c>
      <c r="B225" s="207"/>
      <c r="C225" s="160" t="s">
        <v>74</v>
      </c>
      <c r="D225" s="163" t="s">
        <v>75</v>
      </c>
      <c r="E225" s="112" t="s">
        <v>8</v>
      </c>
      <c r="F225" s="20">
        <f>2.1</f>
        <v>2.1</v>
      </c>
      <c r="G225" s="21">
        <f>2.1</f>
        <v>2.1</v>
      </c>
      <c r="H225" s="13" t="s">
        <v>196</v>
      </c>
      <c r="I225" s="35"/>
      <c r="J225" s="34"/>
      <c r="K225" s="34"/>
      <c r="L225" s="32"/>
      <c r="M225" s="32"/>
    </row>
    <row r="226" spans="1:13" ht="60" x14ac:dyDescent="0.25">
      <c r="A226" s="164">
        <v>207</v>
      </c>
      <c r="B226" s="207"/>
      <c r="C226" s="113" t="s">
        <v>76</v>
      </c>
      <c r="D226" s="179" t="s">
        <v>77</v>
      </c>
      <c r="E226" s="112" t="s">
        <v>8</v>
      </c>
      <c r="F226" s="20">
        <v>2.1</v>
      </c>
      <c r="G226" s="21">
        <v>2.1</v>
      </c>
      <c r="H226" s="13" t="s">
        <v>196</v>
      </c>
      <c r="I226" s="35"/>
      <c r="J226" s="34"/>
      <c r="K226" s="34"/>
      <c r="L226" s="32"/>
      <c r="M226" s="32"/>
    </row>
    <row r="227" spans="1:13" ht="60" x14ac:dyDescent="0.25">
      <c r="A227" s="164">
        <v>208</v>
      </c>
      <c r="B227" s="207" t="s">
        <v>187</v>
      </c>
      <c r="C227" s="12" t="s">
        <v>72</v>
      </c>
      <c r="D227" s="163" t="s">
        <v>177</v>
      </c>
      <c r="E227" s="112" t="s">
        <v>8</v>
      </c>
      <c r="F227" s="20">
        <f>1.4*0.3+0.6*2.1</f>
        <v>1.68</v>
      </c>
      <c r="G227" s="21" t="s">
        <v>255</v>
      </c>
      <c r="H227" s="13" t="s">
        <v>196</v>
      </c>
      <c r="I227" s="35"/>
      <c r="J227" s="34"/>
      <c r="K227" s="34"/>
      <c r="L227" s="32"/>
      <c r="M227" s="32"/>
    </row>
    <row r="228" spans="1:13" ht="60" x14ac:dyDescent="0.25">
      <c r="A228" s="164">
        <v>209</v>
      </c>
      <c r="B228" s="207"/>
      <c r="C228" s="160" t="s">
        <v>74</v>
      </c>
      <c r="D228" s="163" t="s">
        <v>75</v>
      </c>
      <c r="E228" s="112" t="s">
        <v>8</v>
      </c>
      <c r="F228" s="20">
        <v>2.1</v>
      </c>
      <c r="G228" s="21">
        <v>2.1</v>
      </c>
      <c r="H228" s="13" t="s">
        <v>196</v>
      </c>
      <c r="I228" s="35"/>
      <c r="J228" s="34"/>
      <c r="K228" s="34"/>
      <c r="L228" s="32"/>
      <c r="M228" s="32"/>
    </row>
    <row r="229" spans="1:13" ht="60" x14ac:dyDescent="0.25">
      <c r="A229" s="164">
        <v>210</v>
      </c>
      <c r="B229" s="207"/>
      <c r="C229" s="113" t="s">
        <v>76</v>
      </c>
      <c r="D229" s="179" t="s">
        <v>77</v>
      </c>
      <c r="E229" s="112" t="s">
        <v>8</v>
      </c>
      <c r="F229" s="20">
        <v>2.1</v>
      </c>
      <c r="G229" s="21">
        <v>2.1</v>
      </c>
      <c r="H229" s="13" t="s">
        <v>196</v>
      </c>
      <c r="I229" s="35"/>
      <c r="J229" s="34"/>
      <c r="K229" s="34"/>
      <c r="L229" s="32"/>
      <c r="M229" s="32"/>
    </row>
    <row r="230" spans="1:13" ht="60" x14ac:dyDescent="0.25">
      <c r="A230" s="164">
        <v>211</v>
      </c>
      <c r="B230" s="207" t="s">
        <v>188</v>
      </c>
      <c r="C230" s="12" t="s">
        <v>72</v>
      </c>
      <c r="D230" s="163" t="s">
        <v>177</v>
      </c>
      <c r="E230" s="112" t="s">
        <v>8</v>
      </c>
      <c r="F230" s="20">
        <f>2*0.5*0.5+0.8*2.1</f>
        <v>2.1800000000000002</v>
      </c>
      <c r="G230" s="21" t="s">
        <v>256</v>
      </c>
      <c r="H230" s="13" t="s">
        <v>196</v>
      </c>
      <c r="I230" s="35"/>
      <c r="J230" s="34"/>
      <c r="K230" s="34"/>
      <c r="L230" s="32"/>
      <c r="M230" s="32"/>
    </row>
    <row r="231" spans="1:13" ht="60" x14ac:dyDescent="0.25">
      <c r="A231" s="164">
        <v>212</v>
      </c>
      <c r="B231" s="207"/>
      <c r="C231" s="160" t="s">
        <v>74</v>
      </c>
      <c r="D231" s="163" t="s">
        <v>75</v>
      </c>
      <c r="E231" s="112" t="s">
        <v>8</v>
      </c>
      <c r="F231" s="20">
        <v>10.17</v>
      </c>
      <c r="G231" s="21">
        <v>10.17</v>
      </c>
      <c r="H231" s="13" t="s">
        <v>196</v>
      </c>
      <c r="I231" s="35"/>
      <c r="J231" s="34"/>
      <c r="K231" s="34"/>
      <c r="L231" s="32"/>
      <c r="M231" s="32"/>
    </row>
    <row r="232" spans="1:13" ht="60" x14ac:dyDescent="0.25">
      <c r="A232" s="164">
        <v>213</v>
      </c>
      <c r="B232" s="207"/>
      <c r="C232" s="113" t="s">
        <v>76</v>
      </c>
      <c r="D232" s="179" t="s">
        <v>77</v>
      </c>
      <c r="E232" s="112" t="s">
        <v>8</v>
      </c>
      <c r="F232" s="20">
        <v>10.17</v>
      </c>
      <c r="G232" s="21">
        <v>10.17</v>
      </c>
      <c r="H232" s="13" t="s">
        <v>196</v>
      </c>
      <c r="I232" s="35"/>
      <c r="J232" s="34"/>
      <c r="K232" s="34"/>
      <c r="L232" s="32"/>
      <c r="M232" s="32"/>
    </row>
    <row r="233" spans="1:13" ht="60" x14ac:dyDescent="0.25">
      <c r="A233" s="164">
        <v>214</v>
      </c>
      <c r="B233" s="207" t="s">
        <v>189</v>
      </c>
      <c r="C233" s="12" t="s">
        <v>72</v>
      </c>
      <c r="D233" s="163" t="s">
        <v>177</v>
      </c>
      <c r="E233" s="112" t="s">
        <v>8</v>
      </c>
      <c r="F233" s="20">
        <f>2*0.5*0.5+0.8*2.1</f>
        <v>2.1800000000000002</v>
      </c>
      <c r="G233" s="21" t="s">
        <v>256</v>
      </c>
      <c r="H233" s="13" t="s">
        <v>196</v>
      </c>
      <c r="I233" s="35"/>
      <c r="J233" s="34"/>
      <c r="K233" s="34"/>
      <c r="L233" s="32"/>
      <c r="M233" s="32"/>
    </row>
    <row r="234" spans="1:13" ht="60" x14ac:dyDescent="0.25">
      <c r="A234" s="164">
        <v>215</v>
      </c>
      <c r="B234" s="207"/>
      <c r="C234" s="160" t="s">
        <v>74</v>
      </c>
      <c r="D234" s="163" t="s">
        <v>75</v>
      </c>
      <c r="E234" s="112" t="s">
        <v>8</v>
      </c>
      <c r="F234" s="20">
        <v>8.9700000000000006</v>
      </c>
      <c r="G234" s="21">
        <v>8.9700000000000006</v>
      </c>
      <c r="H234" s="13" t="s">
        <v>196</v>
      </c>
      <c r="I234" s="35"/>
      <c r="J234" s="34"/>
      <c r="K234" s="34"/>
      <c r="L234" s="32"/>
      <c r="M234" s="32"/>
    </row>
    <row r="235" spans="1:13" ht="60" x14ac:dyDescent="0.25">
      <c r="A235" s="164">
        <v>216</v>
      </c>
      <c r="B235" s="207"/>
      <c r="C235" s="113" t="s">
        <v>76</v>
      </c>
      <c r="D235" s="179" t="s">
        <v>77</v>
      </c>
      <c r="E235" s="112" t="s">
        <v>8</v>
      </c>
      <c r="F235" s="20">
        <v>8.9700000000000006</v>
      </c>
      <c r="G235" s="21">
        <v>8.9700000000000006</v>
      </c>
      <c r="H235" s="13" t="s">
        <v>196</v>
      </c>
      <c r="I235" s="35"/>
      <c r="J235" s="34"/>
      <c r="K235" s="34"/>
      <c r="L235" s="32"/>
      <c r="M235" s="32"/>
    </row>
    <row r="236" spans="1:13" ht="60" x14ac:dyDescent="0.25">
      <c r="A236" s="164">
        <v>217</v>
      </c>
      <c r="B236" s="207" t="s">
        <v>190</v>
      </c>
      <c r="C236" s="12" t="s">
        <v>72</v>
      </c>
      <c r="D236" s="163" t="s">
        <v>177</v>
      </c>
      <c r="E236" s="112" t="s">
        <v>8</v>
      </c>
      <c r="F236" s="20">
        <f>1*2.1+0.5*0.5</f>
        <v>2.35</v>
      </c>
      <c r="G236" s="21" t="s">
        <v>257</v>
      </c>
      <c r="H236" s="13" t="s">
        <v>196</v>
      </c>
      <c r="I236" s="35"/>
      <c r="J236" s="34"/>
      <c r="K236" s="34"/>
      <c r="L236" s="32"/>
      <c r="M236" s="32"/>
    </row>
    <row r="237" spans="1:13" ht="60" x14ac:dyDescent="0.25">
      <c r="A237" s="164">
        <v>218</v>
      </c>
      <c r="B237" s="207"/>
      <c r="C237" s="160" t="s">
        <v>74</v>
      </c>
      <c r="D237" s="163" t="s">
        <v>75</v>
      </c>
      <c r="E237" s="112" t="s">
        <v>8</v>
      </c>
      <c r="F237" s="20">
        <v>4.0250000000000004</v>
      </c>
      <c r="G237" s="21">
        <v>4.0250000000000004</v>
      </c>
      <c r="H237" s="13" t="s">
        <v>196</v>
      </c>
      <c r="I237" s="35"/>
      <c r="J237" s="34"/>
      <c r="K237" s="34"/>
      <c r="L237" s="32"/>
      <c r="M237" s="32"/>
    </row>
    <row r="238" spans="1:13" ht="60" x14ac:dyDescent="0.25">
      <c r="A238" s="164">
        <v>219</v>
      </c>
      <c r="B238" s="207"/>
      <c r="C238" s="113" t="s">
        <v>76</v>
      </c>
      <c r="D238" s="179" t="s">
        <v>77</v>
      </c>
      <c r="E238" s="112" t="s">
        <v>8</v>
      </c>
      <c r="F238" s="20">
        <v>4.0250000000000004</v>
      </c>
      <c r="G238" s="21">
        <v>4.0250000000000004</v>
      </c>
      <c r="H238" s="13" t="s">
        <v>196</v>
      </c>
      <c r="I238" s="35"/>
      <c r="J238" s="34"/>
      <c r="K238" s="34"/>
      <c r="L238" s="32"/>
      <c r="M238" s="32"/>
    </row>
    <row r="239" spans="1:13" ht="45" x14ac:dyDescent="0.25">
      <c r="A239" s="164">
        <v>220</v>
      </c>
      <c r="B239" s="207" t="s">
        <v>117</v>
      </c>
      <c r="C239" s="12" t="s">
        <v>68</v>
      </c>
      <c r="D239" s="180" t="s">
        <v>69</v>
      </c>
      <c r="E239" s="112" t="s">
        <v>8</v>
      </c>
      <c r="F239" s="20">
        <f>27.4*3.9-F241</f>
        <v>98.179999999999978</v>
      </c>
      <c r="G239" s="21" t="s">
        <v>258</v>
      </c>
      <c r="H239" s="13" t="s">
        <v>196</v>
      </c>
      <c r="I239" s="35"/>
      <c r="J239" s="34"/>
      <c r="K239" s="34"/>
      <c r="L239" s="32"/>
      <c r="M239" s="32"/>
    </row>
    <row r="240" spans="1:13" ht="60" x14ac:dyDescent="0.25">
      <c r="A240" s="164">
        <v>221</v>
      </c>
      <c r="B240" s="207"/>
      <c r="C240" s="12" t="s">
        <v>70</v>
      </c>
      <c r="D240" s="180" t="s">
        <v>71</v>
      </c>
      <c r="E240" s="112" t="s">
        <v>8</v>
      </c>
      <c r="F240" s="20">
        <f>F239</f>
        <v>98.179999999999978</v>
      </c>
      <c r="G240" s="21" t="str">
        <f>G239</f>
        <v>27,4*3,9-(2*2*1,15+2*1,2+0,8*2,1)</v>
      </c>
      <c r="H240" s="13" t="s">
        <v>196</v>
      </c>
      <c r="I240" s="35"/>
      <c r="J240" s="34"/>
      <c r="K240" s="34"/>
      <c r="L240" s="32"/>
      <c r="M240" s="32"/>
    </row>
    <row r="241" spans="1:13" ht="60" x14ac:dyDescent="0.25">
      <c r="A241" s="164">
        <v>222</v>
      </c>
      <c r="B241" s="207"/>
      <c r="C241" s="12" t="s">
        <v>72</v>
      </c>
      <c r="D241" s="163" t="s">
        <v>177</v>
      </c>
      <c r="E241" s="112" t="s">
        <v>8</v>
      </c>
      <c r="F241" s="20">
        <f>2*2*1.15+2*1.2+0.8*2.1</f>
        <v>8.68</v>
      </c>
      <c r="G241" s="21" t="s">
        <v>259</v>
      </c>
      <c r="H241" s="13" t="s">
        <v>196</v>
      </c>
      <c r="I241" s="35"/>
      <c r="J241" s="34"/>
      <c r="K241" s="34"/>
      <c r="L241" s="32"/>
      <c r="M241" s="32"/>
    </row>
    <row r="242" spans="1:13" ht="60" x14ac:dyDescent="0.25">
      <c r="A242" s="164">
        <v>223</v>
      </c>
      <c r="B242" s="207"/>
      <c r="C242" s="160" t="s">
        <v>74</v>
      </c>
      <c r="D242" s="163" t="s">
        <v>75</v>
      </c>
      <c r="E242" s="112" t="s">
        <v>8</v>
      </c>
      <c r="F242" s="20">
        <v>44.67</v>
      </c>
      <c r="G242" s="21">
        <v>44.67</v>
      </c>
      <c r="H242" s="13" t="s">
        <v>196</v>
      </c>
      <c r="I242" s="35"/>
      <c r="J242" s="34"/>
      <c r="K242" s="34"/>
      <c r="L242" s="32"/>
      <c r="M242" s="32"/>
    </row>
    <row r="243" spans="1:13" ht="60" x14ac:dyDescent="0.25">
      <c r="A243" s="164">
        <v>224</v>
      </c>
      <c r="B243" s="207"/>
      <c r="C243" s="113" t="s">
        <v>76</v>
      </c>
      <c r="D243" s="179" t="s">
        <v>77</v>
      </c>
      <c r="E243" s="112" t="s">
        <v>8</v>
      </c>
      <c r="F243" s="20">
        <v>44.67</v>
      </c>
      <c r="G243" s="21">
        <v>44.67</v>
      </c>
      <c r="H243" s="13" t="s">
        <v>196</v>
      </c>
      <c r="I243" s="35"/>
      <c r="J243" s="34"/>
      <c r="K243" s="34"/>
      <c r="L243" s="32"/>
      <c r="M243" s="32"/>
    </row>
    <row r="244" spans="1:13" ht="45" x14ac:dyDescent="0.25">
      <c r="A244" s="164">
        <v>225</v>
      </c>
      <c r="B244" s="207" t="s">
        <v>118</v>
      </c>
      <c r="C244" s="12" t="s">
        <v>68</v>
      </c>
      <c r="D244" s="180" t="s">
        <v>69</v>
      </c>
      <c r="E244" s="112" t="s">
        <v>8</v>
      </c>
      <c r="F244" s="20">
        <f>25.36*3.3-F246</f>
        <v>70.362999999999985</v>
      </c>
      <c r="G244" s="21" t="s">
        <v>260</v>
      </c>
      <c r="H244" s="13" t="s">
        <v>196</v>
      </c>
      <c r="I244" s="35"/>
      <c r="J244" s="34"/>
      <c r="K244" s="34"/>
      <c r="L244" s="32"/>
      <c r="M244" s="32"/>
    </row>
    <row r="245" spans="1:13" ht="60" x14ac:dyDescent="0.25">
      <c r="A245" s="164">
        <v>226</v>
      </c>
      <c r="B245" s="207"/>
      <c r="C245" s="12" t="s">
        <v>70</v>
      </c>
      <c r="D245" s="180" t="s">
        <v>71</v>
      </c>
      <c r="E245" s="112" t="s">
        <v>8</v>
      </c>
      <c r="F245" s="20">
        <f>F244</f>
        <v>70.362999999999985</v>
      </c>
      <c r="G245" s="21" t="str">
        <f>G244</f>
        <v>25,36*3,3-(6,85*1,7+0,8*2,1)</v>
      </c>
      <c r="H245" s="13" t="s">
        <v>196</v>
      </c>
      <c r="I245" s="35"/>
      <c r="J245" s="34"/>
      <c r="K245" s="34"/>
      <c r="L245" s="32"/>
      <c r="M245" s="32"/>
    </row>
    <row r="246" spans="1:13" ht="60" x14ac:dyDescent="0.25">
      <c r="A246" s="164">
        <v>227</v>
      </c>
      <c r="B246" s="207"/>
      <c r="C246" s="12" t="s">
        <v>72</v>
      </c>
      <c r="D246" s="163" t="s">
        <v>177</v>
      </c>
      <c r="E246" s="112" t="s">
        <v>8</v>
      </c>
      <c r="F246" s="20">
        <f>6.85*1.7+0.8*2.1</f>
        <v>13.324999999999999</v>
      </c>
      <c r="G246" s="21" t="s">
        <v>261</v>
      </c>
      <c r="H246" s="13" t="s">
        <v>196</v>
      </c>
      <c r="I246" s="35"/>
      <c r="J246" s="34"/>
      <c r="K246" s="34"/>
      <c r="L246" s="32"/>
      <c r="M246" s="32"/>
    </row>
    <row r="247" spans="1:13" ht="60" x14ac:dyDescent="0.25">
      <c r="A247" s="164">
        <v>228</v>
      </c>
      <c r="B247" s="207"/>
      <c r="C247" s="160" t="s">
        <v>74</v>
      </c>
      <c r="D247" s="163" t="s">
        <v>75</v>
      </c>
      <c r="E247" s="112" t="s">
        <v>8</v>
      </c>
      <c r="F247" s="20">
        <v>36.81</v>
      </c>
      <c r="G247" s="21">
        <v>36.81</v>
      </c>
      <c r="H247" s="13" t="s">
        <v>196</v>
      </c>
      <c r="I247" s="35"/>
      <c r="J247" s="34"/>
      <c r="K247" s="34"/>
      <c r="L247" s="32"/>
      <c r="M247" s="32"/>
    </row>
    <row r="248" spans="1:13" ht="60" x14ac:dyDescent="0.25">
      <c r="A248" s="164">
        <v>229</v>
      </c>
      <c r="B248" s="207"/>
      <c r="C248" s="113" t="s">
        <v>76</v>
      </c>
      <c r="D248" s="179" t="s">
        <v>77</v>
      </c>
      <c r="E248" s="112" t="s">
        <v>8</v>
      </c>
      <c r="F248" s="20">
        <v>36.81</v>
      </c>
      <c r="G248" s="21">
        <v>36.81</v>
      </c>
      <c r="H248" s="13" t="s">
        <v>196</v>
      </c>
      <c r="I248" s="35"/>
      <c r="J248" s="34"/>
      <c r="K248" s="34"/>
      <c r="L248" s="32"/>
      <c r="M248" s="32"/>
    </row>
    <row r="249" spans="1:13" ht="45" x14ac:dyDescent="0.25">
      <c r="A249" s="164">
        <v>230</v>
      </c>
      <c r="B249" s="207" t="s">
        <v>126</v>
      </c>
      <c r="C249" s="12" t="s">
        <v>68</v>
      </c>
      <c r="D249" s="180" t="s">
        <v>69</v>
      </c>
      <c r="E249" s="112" t="s">
        <v>8</v>
      </c>
      <c r="F249" s="20">
        <f>25.06*3.3-F251</f>
        <v>69.37299999999999</v>
      </c>
      <c r="G249" s="21" t="s">
        <v>262</v>
      </c>
      <c r="H249" s="13" t="s">
        <v>196</v>
      </c>
      <c r="I249" s="35"/>
      <c r="J249" s="34"/>
      <c r="K249" s="34"/>
      <c r="L249" s="32"/>
      <c r="M249" s="32"/>
    </row>
    <row r="250" spans="1:13" ht="60" x14ac:dyDescent="0.25">
      <c r="A250" s="164">
        <v>231</v>
      </c>
      <c r="B250" s="207"/>
      <c r="C250" s="12" t="s">
        <v>70</v>
      </c>
      <c r="D250" s="180" t="s">
        <v>71</v>
      </c>
      <c r="E250" s="112" t="s">
        <v>8</v>
      </c>
      <c r="F250" s="20">
        <f>F249</f>
        <v>69.37299999999999</v>
      </c>
      <c r="G250" s="21" t="str">
        <f>G249</f>
        <v>25,06*3,3-6,85*1,7+0,8*2,1</v>
      </c>
      <c r="H250" s="13" t="s">
        <v>196</v>
      </c>
      <c r="I250" s="35"/>
      <c r="J250" s="34"/>
      <c r="K250" s="34"/>
      <c r="L250" s="32"/>
      <c r="M250" s="32"/>
    </row>
    <row r="251" spans="1:13" ht="60" x14ac:dyDescent="0.25">
      <c r="A251" s="164">
        <v>232</v>
      </c>
      <c r="B251" s="207"/>
      <c r="C251" s="12" t="s">
        <v>72</v>
      </c>
      <c r="D251" s="163" t="s">
        <v>177</v>
      </c>
      <c r="E251" s="112" t="s">
        <v>8</v>
      </c>
      <c r="F251" s="20">
        <f>F246</f>
        <v>13.324999999999999</v>
      </c>
      <c r="G251" s="21" t="str">
        <f>G246</f>
        <v>6,85*1,7+0,8*2,1</v>
      </c>
      <c r="H251" s="13" t="s">
        <v>196</v>
      </c>
      <c r="I251" s="35"/>
      <c r="J251" s="34"/>
      <c r="K251" s="34"/>
      <c r="L251" s="32"/>
      <c r="M251" s="32"/>
    </row>
    <row r="252" spans="1:13" ht="60" x14ac:dyDescent="0.25">
      <c r="A252" s="164">
        <v>233</v>
      </c>
      <c r="B252" s="207"/>
      <c r="C252" s="160" t="s">
        <v>74</v>
      </c>
      <c r="D252" s="163" t="s">
        <v>75</v>
      </c>
      <c r="E252" s="112" t="s">
        <v>8</v>
      </c>
      <c r="F252" s="20">
        <v>36.14</v>
      </c>
      <c r="G252" s="21">
        <v>36.14</v>
      </c>
      <c r="H252" s="13" t="s">
        <v>196</v>
      </c>
      <c r="I252" s="35"/>
      <c r="J252" s="34"/>
      <c r="K252" s="34"/>
      <c r="L252" s="32"/>
      <c r="M252" s="32"/>
    </row>
    <row r="253" spans="1:13" ht="60" x14ac:dyDescent="0.25">
      <c r="A253" s="164">
        <v>234</v>
      </c>
      <c r="B253" s="207"/>
      <c r="C253" s="113" t="s">
        <v>76</v>
      </c>
      <c r="D253" s="179" t="s">
        <v>77</v>
      </c>
      <c r="E253" s="112" t="s">
        <v>8</v>
      </c>
      <c r="F253" s="20">
        <v>36.14</v>
      </c>
      <c r="G253" s="21">
        <v>36.14</v>
      </c>
      <c r="H253" s="13" t="s">
        <v>196</v>
      </c>
      <c r="I253" s="35"/>
      <c r="J253" s="34"/>
      <c r="K253" s="34"/>
      <c r="L253" s="32"/>
      <c r="M253" s="32"/>
    </row>
    <row r="254" spans="1:13" ht="45" x14ac:dyDescent="0.25">
      <c r="A254" s="164">
        <v>235</v>
      </c>
      <c r="B254" s="207" t="s">
        <v>127</v>
      </c>
      <c r="C254" s="12" t="s">
        <v>68</v>
      </c>
      <c r="D254" s="180" t="s">
        <v>69</v>
      </c>
      <c r="E254" s="112" t="s">
        <v>8</v>
      </c>
      <c r="F254" s="20">
        <f>25.12*3.3-F256</f>
        <v>69.570999999999998</v>
      </c>
      <c r="G254" s="21" t="s">
        <v>263</v>
      </c>
      <c r="H254" s="13" t="s">
        <v>196</v>
      </c>
      <c r="I254" s="35"/>
      <c r="J254" s="34"/>
      <c r="K254" s="34"/>
      <c r="L254" s="32"/>
      <c r="M254" s="32"/>
    </row>
    <row r="255" spans="1:13" ht="60" x14ac:dyDescent="0.25">
      <c r="A255" s="164">
        <v>236</v>
      </c>
      <c r="B255" s="207"/>
      <c r="C255" s="12" t="s">
        <v>70</v>
      </c>
      <c r="D255" s="180" t="s">
        <v>71</v>
      </c>
      <c r="E255" s="112" t="s">
        <v>8</v>
      </c>
      <c r="F255" s="20">
        <f>F254</f>
        <v>69.570999999999998</v>
      </c>
      <c r="G255" s="21" t="str">
        <f>G254</f>
        <v>25,12*3,3-(6,85*1,7+0,8*2,1)</v>
      </c>
      <c r="H255" s="13" t="s">
        <v>196</v>
      </c>
      <c r="I255" s="35"/>
      <c r="J255" s="34"/>
      <c r="K255" s="34"/>
      <c r="L255" s="32"/>
      <c r="M255" s="32"/>
    </row>
    <row r="256" spans="1:13" ht="60" x14ac:dyDescent="0.25">
      <c r="A256" s="164">
        <v>237</v>
      </c>
      <c r="B256" s="207"/>
      <c r="C256" s="12" t="s">
        <v>72</v>
      </c>
      <c r="D256" s="163" t="s">
        <v>177</v>
      </c>
      <c r="E256" s="112" t="s">
        <v>8</v>
      </c>
      <c r="F256" s="20">
        <f>F251</f>
        <v>13.324999999999999</v>
      </c>
      <c r="G256" s="21" t="str">
        <f>G251</f>
        <v>6,85*1,7+0,8*2,1</v>
      </c>
      <c r="H256" s="13" t="s">
        <v>196</v>
      </c>
      <c r="I256" s="35"/>
      <c r="J256" s="34"/>
      <c r="K256" s="34"/>
      <c r="L256" s="32"/>
      <c r="M256" s="32"/>
    </row>
    <row r="257" spans="1:13" ht="60" x14ac:dyDescent="0.25">
      <c r="A257" s="164">
        <v>238</v>
      </c>
      <c r="B257" s="207"/>
      <c r="C257" s="160" t="s">
        <v>74</v>
      </c>
      <c r="D257" s="163" t="s">
        <v>75</v>
      </c>
      <c r="E257" s="112" t="s">
        <v>8</v>
      </c>
      <c r="F257" s="20">
        <v>36.270000000000003</v>
      </c>
      <c r="G257" s="21">
        <v>36.270000000000003</v>
      </c>
      <c r="H257" s="13" t="s">
        <v>196</v>
      </c>
      <c r="I257" s="35"/>
      <c r="J257" s="34"/>
      <c r="K257" s="34"/>
      <c r="L257" s="32"/>
      <c r="M257" s="32"/>
    </row>
    <row r="258" spans="1:13" ht="60" x14ac:dyDescent="0.25">
      <c r="A258" s="164">
        <v>239</v>
      </c>
      <c r="B258" s="207"/>
      <c r="C258" s="113" t="s">
        <v>76</v>
      </c>
      <c r="D258" s="179" t="s">
        <v>77</v>
      </c>
      <c r="E258" s="112" t="s">
        <v>8</v>
      </c>
      <c r="F258" s="20">
        <v>36.270000000000003</v>
      </c>
      <c r="G258" s="21">
        <v>36.270000000000003</v>
      </c>
      <c r="H258" s="13" t="s">
        <v>196</v>
      </c>
      <c r="I258" s="35"/>
      <c r="J258" s="34"/>
      <c r="K258" s="34"/>
      <c r="L258" s="32"/>
      <c r="M258" s="32"/>
    </row>
    <row r="259" spans="1:13" ht="45" x14ac:dyDescent="0.25">
      <c r="A259" s="164">
        <v>240</v>
      </c>
      <c r="B259" s="207" t="s">
        <v>191</v>
      </c>
      <c r="C259" s="12" t="s">
        <v>68</v>
      </c>
      <c r="D259" s="180" t="s">
        <v>69</v>
      </c>
      <c r="E259" s="112" t="s">
        <v>8</v>
      </c>
      <c r="F259" s="20">
        <f>25.42*3.5-F261</f>
        <v>83.69</v>
      </c>
      <c r="G259" s="21" t="s">
        <v>264</v>
      </c>
      <c r="H259" s="13" t="s">
        <v>196</v>
      </c>
      <c r="I259" s="35"/>
      <c r="J259" s="34"/>
      <c r="K259" s="34"/>
      <c r="L259" s="32"/>
      <c r="M259" s="32"/>
    </row>
    <row r="260" spans="1:13" ht="60" x14ac:dyDescent="0.25">
      <c r="A260" s="164">
        <v>241</v>
      </c>
      <c r="B260" s="207"/>
      <c r="C260" s="12" t="s">
        <v>70</v>
      </c>
      <c r="D260" s="180" t="s">
        <v>71</v>
      </c>
      <c r="E260" s="112" t="s">
        <v>8</v>
      </c>
      <c r="F260" s="20">
        <f>F259</f>
        <v>83.69</v>
      </c>
      <c r="G260" s="21" t="str">
        <f>G259</f>
        <v>25,42*3,5-(2*1,5*1,2+0,8*2,1)</v>
      </c>
      <c r="H260" s="13" t="s">
        <v>196</v>
      </c>
      <c r="I260" s="35"/>
      <c r="J260" s="34"/>
      <c r="K260" s="34"/>
      <c r="L260" s="32"/>
      <c r="M260" s="32"/>
    </row>
    <row r="261" spans="1:13" ht="60" x14ac:dyDescent="0.25">
      <c r="A261" s="164">
        <v>242</v>
      </c>
      <c r="B261" s="207"/>
      <c r="C261" s="12" t="s">
        <v>72</v>
      </c>
      <c r="D261" s="163" t="s">
        <v>177</v>
      </c>
      <c r="E261" s="112" t="s">
        <v>8</v>
      </c>
      <c r="F261" s="20">
        <f>2*1.5*1.2+0.8*2.1</f>
        <v>5.2799999999999994</v>
      </c>
      <c r="G261" s="21" t="s">
        <v>265</v>
      </c>
      <c r="H261" s="13" t="s">
        <v>196</v>
      </c>
      <c r="I261" s="35"/>
      <c r="J261" s="34"/>
      <c r="K261" s="34"/>
      <c r="L261" s="32"/>
      <c r="M261" s="32"/>
    </row>
    <row r="262" spans="1:13" ht="60" x14ac:dyDescent="0.25">
      <c r="A262" s="164">
        <v>243</v>
      </c>
      <c r="B262" s="207"/>
      <c r="C262" s="160" t="s">
        <v>74</v>
      </c>
      <c r="D262" s="163" t="s">
        <v>75</v>
      </c>
      <c r="E262" s="112" t="s">
        <v>8</v>
      </c>
      <c r="F262" s="20">
        <v>38.549999999999997</v>
      </c>
      <c r="G262" s="21">
        <v>38.549999999999997</v>
      </c>
      <c r="H262" s="13" t="s">
        <v>196</v>
      </c>
      <c r="I262" s="35"/>
      <c r="J262" s="34"/>
      <c r="K262" s="34"/>
      <c r="L262" s="32"/>
      <c r="M262" s="32"/>
    </row>
    <row r="263" spans="1:13" ht="60" x14ac:dyDescent="0.25">
      <c r="A263" s="164">
        <v>244</v>
      </c>
      <c r="B263" s="207"/>
      <c r="C263" s="113" t="s">
        <v>76</v>
      </c>
      <c r="D263" s="179" t="s">
        <v>77</v>
      </c>
      <c r="E263" s="112" t="s">
        <v>8</v>
      </c>
      <c r="F263" s="20">
        <v>38.549999999999997</v>
      </c>
      <c r="G263" s="21">
        <v>38.549999999999997</v>
      </c>
      <c r="H263" s="13" t="s">
        <v>196</v>
      </c>
      <c r="I263" s="35"/>
      <c r="J263" s="34"/>
      <c r="K263" s="34"/>
      <c r="L263" s="32"/>
      <c r="M263" s="32"/>
    </row>
    <row r="264" spans="1:13" ht="45" x14ac:dyDescent="0.25">
      <c r="A264" s="164">
        <v>245</v>
      </c>
      <c r="B264" s="207" t="s">
        <v>132</v>
      </c>
      <c r="C264" s="12" t="s">
        <v>68</v>
      </c>
      <c r="D264" s="180" t="s">
        <v>69</v>
      </c>
      <c r="E264" s="112" t="s">
        <v>8</v>
      </c>
      <c r="F264" s="20">
        <f>24.66*3.5-F266</f>
        <v>81.03</v>
      </c>
      <c r="G264" s="21" t="s">
        <v>266</v>
      </c>
      <c r="H264" s="13" t="s">
        <v>196</v>
      </c>
      <c r="I264" s="35"/>
      <c r="J264" s="34"/>
      <c r="K264" s="34"/>
      <c r="L264" s="32"/>
      <c r="M264" s="32"/>
    </row>
    <row r="265" spans="1:13" ht="60" x14ac:dyDescent="0.25">
      <c r="A265" s="164">
        <v>246</v>
      </c>
      <c r="B265" s="207"/>
      <c r="C265" s="12" t="s">
        <v>70</v>
      </c>
      <c r="D265" s="180" t="s">
        <v>71</v>
      </c>
      <c r="E265" s="112" t="s">
        <v>8</v>
      </c>
      <c r="F265" s="20">
        <f>F264</f>
        <v>81.03</v>
      </c>
      <c r="G265" s="21" t="str">
        <f>G264</f>
        <v>24,66*3,5-(2*1,5*1,2+0,8*2,1)</v>
      </c>
      <c r="H265" s="13" t="s">
        <v>196</v>
      </c>
      <c r="I265" s="35"/>
      <c r="J265" s="34"/>
      <c r="K265" s="34"/>
      <c r="L265" s="32"/>
      <c r="M265" s="32"/>
    </row>
    <row r="266" spans="1:13" ht="60" x14ac:dyDescent="0.25">
      <c r="A266" s="164">
        <v>247</v>
      </c>
      <c r="B266" s="207"/>
      <c r="C266" s="12" t="s">
        <v>72</v>
      </c>
      <c r="D266" s="163" t="s">
        <v>177</v>
      </c>
      <c r="E266" s="112" t="s">
        <v>8</v>
      </c>
      <c r="F266" s="20">
        <f>F261</f>
        <v>5.2799999999999994</v>
      </c>
      <c r="G266" s="21" t="str">
        <f>G261</f>
        <v>2*1,5*1,2+0,8*2,1</v>
      </c>
      <c r="H266" s="13" t="s">
        <v>196</v>
      </c>
      <c r="I266" s="35"/>
      <c r="J266" s="34"/>
      <c r="K266" s="34"/>
      <c r="L266" s="32"/>
      <c r="M266" s="32"/>
    </row>
    <row r="267" spans="1:13" ht="60" x14ac:dyDescent="0.25">
      <c r="A267" s="164">
        <v>248</v>
      </c>
      <c r="B267" s="207"/>
      <c r="C267" s="160" t="s">
        <v>74</v>
      </c>
      <c r="D267" s="163" t="s">
        <v>75</v>
      </c>
      <c r="E267" s="112" t="s">
        <v>8</v>
      </c>
      <c r="F267" s="20">
        <v>36.65</v>
      </c>
      <c r="G267" s="21">
        <v>36.65</v>
      </c>
      <c r="H267" s="13" t="s">
        <v>196</v>
      </c>
      <c r="I267" s="35"/>
      <c r="J267" s="34"/>
      <c r="K267" s="34"/>
      <c r="L267" s="32"/>
      <c r="M267" s="32"/>
    </row>
    <row r="268" spans="1:13" ht="60" x14ac:dyDescent="0.25">
      <c r="A268" s="164">
        <v>249</v>
      </c>
      <c r="B268" s="207"/>
      <c r="C268" s="113" t="s">
        <v>76</v>
      </c>
      <c r="D268" s="179" t="s">
        <v>77</v>
      </c>
      <c r="E268" s="112" t="s">
        <v>8</v>
      </c>
      <c r="F268" s="20">
        <v>36.65</v>
      </c>
      <c r="G268" s="21">
        <v>36.65</v>
      </c>
      <c r="H268" s="13" t="s">
        <v>196</v>
      </c>
      <c r="I268" s="35"/>
      <c r="J268" s="34"/>
      <c r="K268" s="34"/>
      <c r="L268" s="32"/>
      <c r="M268" s="32"/>
    </row>
    <row r="269" spans="1:13" ht="165" x14ac:dyDescent="0.25">
      <c r="A269" s="164">
        <v>250</v>
      </c>
      <c r="B269" s="207" t="s">
        <v>125</v>
      </c>
      <c r="C269" s="12" t="s">
        <v>68</v>
      </c>
      <c r="D269" s="180" t="s">
        <v>69</v>
      </c>
      <c r="E269" s="112" t="s">
        <v>8</v>
      </c>
      <c r="F269" s="20">
        <f>41.74*3.85+153.39*4.3+103.97*4.3-(F266+F261+F256+F251+F246+F241+F236+F233+F230+F227+F224+F221+F216+F211+F208+F205+F200+F197+F192+F187+F182+F177+F172+F167+F162)</f>
        <v>1106.2219999999998</v>
      </c>
      <c r="G269" s="21" t="s">
        <v>267</v>
      </c>
      <c r="H269" s="13" t="s">
        <v>196</v>
      </c>
      <c r="I269" s="35"/>
      <c r="J269" s="34"/>
      <c r="K269" s="34"/>
      <c r="L269" s="32"/>
      <c r="M269" s="32"/>
    </row>
    <row r="270" spans="1:13" ht="165" x14ac:dyDescent="0.25">
      <c r="A270" s="164">
        <v>251</v>
      </c>
      <c r="B270" s="207"/>
      <c r="C270" s="12" t="s">
        <v>70</v>
      </c>
      <c r="D270" s="180" t="s">
        <v>71</v>
      </c>
      <c r="E270" s="112" t="s">
        <v>8</v>
      </c>
      <c r="F270" s="20">
        <f>F269</f>
        <v>1106.2219999999998</v>
      </c>
      <c r="G270" s="21" t="str">
        <f>G269</f>
        <v>41,74*3,85+153,39*4,3+103,97*4,3-(1,05*3,1*5+0,8*2,1+1,05*3,1*5+0,8*2,1+2,5*1,5+0,8*2,1+0,8*2,1+2,5*1,5*2+0,8*2,1+1*1+1,6*1,2+0,8*2,1+0,7*2,1+0,5*1,3+0,7*2,1+0,8*2,1+1,8*0,3+2*3*1,5+0,8*2,1+3,15+0,8*2,1*2+1*1+0,8*2,1+3*1,5+0,8*2,1+1,5*1+0,8*2,1+1,4*0,3+0,6*2,1+1,4*0,3+0,6*2,1+2*0,5*0,5+0,8*2,1+2*0,5*0,5+0,8*2,1+1*2,1+0,5*0,5+2*2*1,15+2*1,2+0,8*2,1+6,85*1,7+0,8*2,1+6,85*1,7+0,8*2,1+6,85*1,7+0,8*2,1+2*1,5*1,2+0,8*2,1+2*1,5*1,2+0,8*2,1)</v>
      </c>
      <c r="H270" s="13" t="s">
        <v>196</v>
      </c>
      <c r="I270" s="35"/>
      <c r="J270" s="34"/>
      <c r="K270" s="34"/>
      <c r="L270" s="32"/>
      <c r="M270" s="32"/>
    </row>
    <row r="271" spans="1:13" ht="45" x14ac:dyDescent="0.25">
      <c r="A271" s="164">
        <v>252</v>
      </c>
      <c r="B271" s="207" t="s">
        <v>124</v>
      </c>
      <c r="C271" s="12" t="s">
        <v>68</v>
      </c>
      <c r="D271" s="180" t="s">
        <v>69</v>
      </c>
      <c r="E271" s="112" t="s">
        <v>8</v>
      </c>
      <c r="F271" s="20">
        <f>(36.78+50.69+59.25+(15+47.32)*2)*2.2</f>
        <v>596.99200000000008</v>
      </c>
      <c r="G271" s="21" t="s">
        <v>268</v>
      </c>
      <c r="H271" s="13" t="s">
        <v>196</v>
      </c>
      <c r="I271" s="35"/>
      <c r="J271" s="34"/>
      <c r="K271" s="34"/>
      <c r="L271" s="32"/>
      <c r="M271" s="32"/>
    </row>
    <row r="272" spans="1:13" ht="60" x14ac:dyDescent="0.25">
      <c r="A272" s="164">
        <v>253</v>
      </c>
      <c r="B272" s="207"/>
      <c r="C272" s="12" t="s">
        <v>70</v>
      </c>
      <c r="D272" s="180" t="s">
        <v>71</v>
      </c>
      <c r="E272" s="112" t="s">
        <v>8</v>
      </c>
      <c r="F272" s="20">
        <f>F271</f>
        <v>596.99200000000008</v>
      </c>
      <c r="G272" s="21" t="str">
        <f>G271</f>
        <v>(36,78+50,69+59,25+(15+47,32)*2)*2,2</v>
      </c>
      <c r="H272" s="13" t="s">
        <v>196</v>
      </c>
      <c r="I272" s="35"/>
      <c r="J272" s="34"/>
      <c r="K272" s="34"/>
      <c r="L272" s="32"/>
      <c r="M272" s="32"/>
    </row>
    <row r="273" spans="1:13" ht="75" x14ac:dyDescent="0.25">
      <c r="A273" s="164">
        <v>254</v>
      </c>
      <c r="B273" s="207"/>
      <c r="C273" s="12" t="s">
        <v>72</v>
      </c>
      <c r="D273" s="163" t="s">
        <v>73</v>
      </c>
      <c r="E273" s="112" t="s">
        <v>8</v>
      </c>
      <c r="F273" s="20">
        <f>4.05*2.2+4.05*1.6+3.9*2.2</f>
        <v>23.97</v>
      </c>
      <c r="G273" s="21" t="s">
        <v>269</v>
      </c>
      <c r="H273" s="13" t="s">
        <v>196</v>
      </c>
      <c r="I273" s="35"/>
      <c r="J273" s="34"/>
      <c r="K273" s="34"/>
      <c r="L273" s="32"/>
      <c r="M273" s="32"/>
    </row>
    <row r="274" spans="1:13" ht="45" customHeight="1" x14ac:dyDescent="0.25">
      <c r="A274" s="164">
        <v>255</v>
      </c>
      <c r="B274" s="208" t="s">
        <v>113</v>
      </c>
      <c r="C274" s="208"/>
      <c r="D274" s="208"/>
      <c r="E274" s="208"/>
      <c r="F274" s="208"/>
      <c r="G274" s="208"/>
      <c r="H274" s="208"/>
      <c r="I274" s="35"/>
      <c r="J274" s="34"/>
      <c r="K274" s="34"/>
      <c r="L274" s="32"/>
      <c r="M274" s="32"/>
    </row>
    <row r="275" spans="1:13" ht="45" customHeight="1" x14ac:dyDescent="0.25">
      <c r="A275" s="164">
        <v>256</v>
      </c>
      <c r="B275" s="112"/>
      <c r="C275" s="150" t="s">
        <v>155</v>
      </c>
      <c r="D275" s="176" t="s">
        <v>154</v>
      </c>
      <c r="E275" s="112" t="s">
        <v>8</v>
      </c>
      <c r="F275" s="112">
        <v>2.88</v>
      </c>
      <c r="G275" s="160">
        <v>2.88</v>
      </c>
      <c r="H275" s="13" t="s">
        <v>196</v>
      </c>
      <c r="I275" s="35"/>
      <c r="J275" s="34"/>
      <c r="K275" s="34"/>
      <c r="L275" s="32"/>
      <c r="M275" s="32"/>
    </row>
    <row r="276" spans="1:13" ht="75" x14ac:dyDescent="0.25">
      <c r="A276" s="164">
        <v>257</v>
      </c>
      <c r="B276" s="209" t="s">
        <v>104</v>
      </c>
      <c r="C276" s="112" t="s">
        <v>150</v>
      </c>
      <c r="D276" s="163" t="s">
        <v>147</v>
      </c>
      <c r="E276" s="112" t="s">
        <v>146</v>
      </c>
      <c r="F276" s="112">
        <v>6</v>
      </c>
      <c r="G276" s="160">
        <v>6</v>
      </c>
      <c r="H276" s="13" t="s">
        <v>224</v>
      </c>
      <c r="I276" s="35"/>
      <c r="J276" s="34"/>
      <c r="K276" s="34"/>
      <c r="L276" s="32"/>
      <c r="M276" s="32"/>
    </row>
    <row r="277" spans="1:13" ht="45" customHeight="1" x14ac:dyDescent="0.25">
      <c r="A277" s="164">
        <v>258</v>
      </c>
      <c r="B277" s="209"/>
      <c r="C277" s="112" t="s">
        <v>149</v>
      </c>
      <c r="D277" s="163" t="s">
        <v>148</v>
      </c>
      <c r="E277" s="112" t="s">
        <v>19</v>
      </c>
      <c r="F277" s="112">
        <v>6</v>
      </c>
      <c r="G277" s="160">
        <v>6</v>
      </c>
      <c r="H277" s="13" t="s">
        <v>224</v>
      </c>
      <c r="I277" s="35"/>
      <c r="J277" s="34"/>
      <c r="K277" s="34"/>
      <c r="L277" s="32"/>
      <c r="M277" s="32"/>
    </row>
    <row r="278" spans="1:13" ht="45" x14ac:dyDescent="0.25">
      <c r="A278" s="164">
        <v>259</v>
      </c>
      <c r="B278" s="207" t="s">
        <v>114</v>
      </c>
      <c r="C278" s="12" t="s">
        <v>68</v>
      </c>
      <c r="D278" s="180" t="s">
        <v>69</v>
      </c>
      <c r="E278" s="112" t="s">
        <v>8</v>
      </c>
      <c r="F278" s="20">
        <f>28.6*2.8-F280</f>
        <v>67.989999999999995</v>
      </c>
      <c r="G278" s="21" t="s">
        <v>271</v>
      </c>
      <c r="H278" s="13" t="s">
        <v>196</v>
      </c>
      <c r="I278" s="35"/>
      <c r="J278" s="34"/>
      <c r="K278" s="34"/>
      <c r="L278" s="32"/>
      <c r="M278" s="32"/>
    </row>
    <row r="279" spans="1:13" ht="60" x14ac:dyDescent="0.25">
      <c r="A279" s="164">
        <v>260</v>
      </c>
      <c r="B279" s="207"/>
      <c r="C279" s="12" t="s">
        <v>70</v>
      </c>
      <c r="D279" s="180" t="s">
        <v>71</v>
      </c>
      <c r="E279" s="112" t="s">
        <v>8</v>
      </c>
      <c r="F279" s="20">
        <f>F278</f>
        <v>67.989999999999995</v>
      </c>
      <c r="G279" s="21" t="str">
        <f>G278</f>
        <v>28,6*2,8-(4*1,05*1,55+2*1,5*1,3+0,8*2,1)</v>
      </c>
      <c r="H279" s="13" t="s">
        <v>196</v>
      </c>
      <c r="I279" s="35"/>
      <c r="J279" s="34"/>
      <c r="K279" s="34"/>
      <c r="L279" s="32"/>
      <c r="M279" s="32"/>
    </row>
    <row r="280" spans="1:13" ht="75" x14ac:dyDescent="0.25">
      <c r="A280" s="164">
        <v>261</v>
      </c>
      <c r="B280" s="207"/>
      <c r="C280" s="12" t="s">
        <v>72</v>
      </c>
      <c r="D280" s="163" t="s">
        <v>73</v>
      </c>
      <c r="E280" s="112" t="s">
        <v>8</v>
      </c>
      <c r="F280" s="20">
        <f>4*1.05*1.55+2*1.5*1.3+0.8*2.1</f>
        <v>12.09</v>
      </c>
      <c r="G280" s="21" t="s">
        <v>270</v>
      </c>
      <c r="H280" s="13" t="s">
        <v>196</v>
      </c>
      <c r="I280" s="35"/>
      <c r="J280" s="34"/>
      <c r="K280" s="34"/>
      <c r="L280" s="32"/>
      <c r="M280" s="32"/>
    </row>
    <row r="281" spans="1:13" ht="60" x14ac:dyDescent="0.25">
      <c r="A281" s="164">
        <v>262</v>
      </c>
      <c r="B281" s="207"/>
      <c r="C281" s="160" t="s">
        <v>74</v>
      </c>
      <c r="D281" s="163" t="s">
        <v>75</v>
      </c>
      <c r="E281" s="112" t="s">
        <v>8</v>
      </c>
      <c r="F281" s="20">
        <v>50.22</v>
      </c>
      <c r="G281" s="21">
        <v>50.22</v>
      </c>
      <c r="H281" s="13" t="s">
        <v>196</v>
      </c>
      <c r="I281" s="35"/>
      <c r="J281" s="34"/>
      <c r="K281" s="34"/>
      <c r="L281" s="32"/>
      <c r="M281" s="32"/>
    </row>
    <row r="282" spans="1:13" ht="60" x14ac:dyDescent="0.25">
      <c r="A282" s="164">
        <v>263</v>
      </c>
      <c r="B282" s="207"/>
      <c r="C282" s="113" t="s">
        <v>76</v>
      </c>
      <c r="D282" s="179" t="s">
        <v>77</v>
      </c>
      <c r="E282" s="112" t="s">
        <v>8</v>
      </c>
      <c r="F282" s="20">
        <v>50.22</v>
      </c>
      <c r="G282" s="21">
        <v>50.22</v>
      </c>
      <c r="H282" s="13" t="s">
        <v>196</v>
      </c>
      <c r="I282" s="35"/>
      <c r="J282" s="34"/>
      <c r="K282" s="34"/>
      <c r="L282" s="32"/>
      <c r="M282" s="32"/>
    </row>
    <row r="283" spans="1:13" ht="45" x14ac:dyDescent="0.25">
      <c r="A283" s="164">
        <v>264</v>
      </c>
      <c r="B283" s="207" t="s">
        <v>115</v>
      </c>
      <c r="C283" s="12" t="s">
        <v>68</v>
      </c>
      <c r="D283" s="180" t="s">
        <v>69</v>
      </c>
      <c r="E283" s="112" t="s">
        <v>8</v>
      </c>
      <c r="F283" s="20">
        <f>22.45*2.8-F285</f>
        <v>57.304999999999993</v>
      </c>
      <c r="G283" s="21" t="s">
        <v>272</v>
      </c>
      <c r="H283" s="13" t="s">
        <v>196</v>
      </c>
      <c r="I283" s="35"/>
      <c r="J283" s="34"/>
      <c r="K283" s="34"/>
      <c r="L283" s="32"/>
      <c r="M283" s="32"/>
    </row>
    <row r="284" spans="1:13" ht="60" x14ac:dyDescent="0.25">
      <c r="A284" s="164">
        <v>265</v>
      </c>
      <c r="B284" s="207"/>
      <c r="C284" s="12" t="s">
        <v>70</v>
      </c>
      <c r="D284" s="180" t="s">
        <v>71</v>
      </c>
      <c r="E284" s="112" t="s">
        <v>8</v>
      </c>
      <c r="F284" s="20">
        <f>F283</f>
        <v>57.304999999999993</v>
      </c>
      <c r="G284" s="21" t="str">
        <f>G283</f>
        <v>22,45*2,8-(2*1,25*1,55+0,8*2,1)</v>
      </c>
      <c r="H284" s="13" t="s">
        <v>196</v>
      </c>
      <c r="I284" s="35"/>
      <c r="J284" s="34"/>
      <c r="K284" s="34"/>
      <c r="L284" s="32"/>
      <c r="M284" s="32"/>
    </row>
    <row r="285" spans="1:13" ht="75" x14ac:dyDescent="0.25">
      <c r="A285" s="164">
        <v>266</v>
      </c>
      <c r="B285" s="207"/>
      <c r="C285" s="12" t="s">
        <v>72</v>
      </c>
      <c r="D285" s="163" t="s">
        <v>73</v>
      </c>
      <c r="E285" s="112" t="s">
        <v>8</v>
      </c>
      <c r="F285" s="20">
        <f>2*1.25*1.55+0.8*2.1</f>
        <v>5.5549999999999997</v>
      </c>
      <c r="G285" s="21" t="s">
        <v>273</v>
      </c>
      <c r="H285" s="13" t="s">
        <v>196</v>
      </c>
      <c r="I285" s="35"/>
      <c r="J285" s="34"/>
      <c r="K285" s="34"/>
      <c r="L285" s="32"/>
      <c r="M285" s="32"/>
    </row>
    <row r="286" spans="1:13" ht="60" x14ac:dyDescent="0.25">
      <c r="A286" s="164">
        <v>267</v>
      </c>
      <c r="B286" s="207"/>
      <c r="C286" s="160" t="s">
        <v>74</v>
      </c>
      <c r="D286" s="163" t="s">
        <v>75</v>
      </c>
      <c r="E286" s="112" t="s">
        <v>8</v>
      </c>
      <c r="F286" s="20">
        <v>24.8</v>
      </c>
      <c r="G286" s="21">
        <v>24.8</v>
      </c>
      <c r="H286" s="13" t="s">
        <v>196</v>
      </c>
      <c r="I286" s="35"/>
      <c r="J286" s="34"/>
      <c r="K286" s="34"/>
      <c r="L286" s="32"/>
      <c r="M286" s="32"/>
    </row>
    <row r="287" spans="1:13" ht="60" x14ac:dyDescent="0.25">
      <c r="A287" s="164">
        <v>268</v>
      </c>
      <c r="B287" s="207"/>
      <c r="C287" s="113" t="s">
        <v>76</v>
      </c>
      <c r="D287" s="179" t="s">
        <v>77</v>
      </c>
      <c r="E287" s="112" t="s">
        <v>8</v>
      </c>
      <c r="F287" s="20">
        <v>24.8</v>
      </c>
      <c r="G287" s="21">
        <v>24.8</v>
      </c>
      <c r="H287" s="13" t="s">
        <v>196</v>
      </c>
      <c r="I287" s="35"/>
      <c r="J287" s="34"/>
      <c r="K287" s="34"/>
      <c r="L287" s="32"/>
      <c r="M287" s="32"/>
    </row>
    <row r="288" spans="1:13" ht="45" x14ac:dyDescent="0.25">
      <c r="A288" s="164">
        <v>269</v>
      </c>
      <c r="B288" s="207" t="s">
        <v>103</v>
      </c>
      <c r="C288" s="12" t="s">
        <v>68</v>
      </c>
      <c r="D288" s="180" t="s">
        <v>69</v>
      </c>
      <c r="E288" s="112" t="s">
        <v>8</v>
      </c>
      <c r="F288" s="20">
        <f>22.45*2.8-F290</f>
        <v>58.85499999999999</v>
      </c>
      <c r="G288" s="21" t="s">
        <v>274</v>
      </c>
      <c r="H288" s="13" t="s">
        <v>196</v>
      </c>
      <c r="I288" s="35"/>
      <c r="J288" s="34"/>
      <c r="K288" s="34"/>
      <c r="L288" s="32"/>
      <c r="M288" s="32"/>
    </row>
    <row r="289" spans="1:13" ht="60" x14ac:dyDescent="0.25">
      <c r="A289" s="164">
        <v>270</v>
      </c>
      <c r="B289" s="207"/>
      <c r="C289" s="12" t="s">
        <v>70</v>
      </c>
      <c r="D289" s="180" t="s">
        <v>71</v>
      </c>
      <c r="E289" s="112" t="s">
        <v>8</v>
      </c>
      <c r="F289" s="20">
        <f>F288</f>
        <v>58.85499999999999</v>
      </c>
      <c r="G289" s="21" t="str">
        <f>G288</f>
        <v>22,45*2,8-(1,5*1,55+0,8*2,1)</v>
      </c>
      <c r="H289" s="13" t="s">
        <v>196</v>
      </c>
      <c r="I289" s="35"/>
      <c r="J289" s="34"/>
      <c r="K289" s="34"/>
      <c r="L289" s="32"/>
      <c r="M289" s="32"/>
    </row>
    <row r="290" spans="1:13" ht="75" x14ac:dyDescent="0.25">
      <c r="A290" s="164">
        <v>271</v>
      </c>
      <c r="B290" s="207"/>
      <c r="C290" s="12" t="s">
        <v>72</v>
      </c>
      <c r="D290" s="163" t="s">
        <v>73</v>
      </c>
      <c r="E290" s="112" t="s">
        <v>8</v>
      </c>
      <c r="F290" s="20">
        <f>1.5*1.55+0.8*2.1</f>
        <v>4.0050000000000008</v>
      </c>
      <c r="G290" s="21" t="s">
        <v>275</v>
      </c>
      <c r="H290" s="13" t="s">
        <v>196</v>
      </c>
      <c r="I290" s="35"/>
      <c r="J290" s="34"/>
      <c r="K290" s="34"/>
      <c r="L290" s="32"/>
      <c r="M290" s="32"/>
    </row>
    <row r="291" spans="1:13" ht="60" x14ac:dyDescent="0.25">
      <c r="A291" s="164">
        <v>272</v>
      </c>
      <c r="B291" s="207"/>
      <c r="C291" s="160" t="s">
        <v>74</v>
      </c>
      <c r="D291" s="163" t="s">
        <v>75</v>
      </c>
      <c r="E291" s="112" t="s">
        <v>8</v>
      </c>
      <c r="F291" s="20">
        <v>24.8</v>
      </c>
      <c r="G291" s="21">
        <v>24.8</v>
      </c>
      <c r="H291" s="13" t="s">
        <v>196</v>
      </c>
      <c r="I291" s="35"/>
      <c r="J291" s="34"/>
      <c r="K291" s="34"/>
      <c r="L291" s="32"/>
      <c r="M291" s="32"/>
    </row>
    <row r="292" spans="1:13" ht="60" x14ac:dyDescent="0.25">
      <c r="A292" s="164">
        <v>273</v>
      </c>
      <c r="B292" s="207"/>
      <c r="C292" s="113" t="s">
        <v>76</v>
      </c>
      <c r="D292" s="179" t="s">
        <v>77</v>
      </c>
      <c r="E292" s="112" t="s">
        <v>8</v>
      </c>
      <c r="F292" s="20">
        <v>24.8</v>
      </c>
      <c r="G292" s="21">
        <v>24.8</v>
      </c>
      <c r="H292" s="13" t="s">
        <v>196</v>
      </c>
      <c r="I292" s="35"/>
      <c r="J292" s="34"/>
      <c r="K292" s="34"/>
      <c r="L292" s="32"/>
      <c r="M292" s="32"/>
    </row>
    <row r="293" spans="1:13" ht="45" x14ac:dyDescent="0.25">
      <c r="A293" s="164">
        <v>274</v>
      </c>
      <c r="B293" s="207" t="s">
        <v>116</v>
      </c>
      <c r="C293" s="12" t="s">
        <v>68</v>
      </c>
      <c r="D293" s="180" t="s">
        <v>69</v>
      </c>
      <c r="E293" s="112" t="s">
        <v>8</v>
      </c>
      <c r="F293" s="20">
        <f>28.15*2.8-F295</f>
        <v>67.059999999999988</v>
      </c>
      <c r="G293" s="21" t="s">
        <v>276</v>
      </c>
      <c r="H293" s="13" t="s">
        <v>196</v>
      </c>
      <c r="I293" s="35"/>
      <c r="J293" s="34"/>
      <c r="K293" s="34"/>
      <c r="L293" s="32"/>
      <c r="M293" s="32"/>
    </row>
    <row r="294" spans="1:13" ht="60" x14ac:dyDescent="0.25">
      <c r="A294" s="164">
        <v>275</v>
      </c>
      <c r="B294" s="207"/>
      <c r="C294" s="12" t="s">
        <v>70</v>
      </c>
      <c r="D294" s="180" t="s">
        <v>71</v>
      </c>
      <c r="E294" s="112" t="s">
        <v>8</v>
      </c>
      <c r="F294" s="20">
        <f>F293</f>
        <v>67.059999999999988</v>
      </c>
      <c r="G294" s="21" t="str">
        <f>G293</f>
        <v>28,15*2,8-(2*1,8*2,8+0,8*2,1)</v>
      </c>
      <c r="H294" s="13" t="s">
        <v>196</v>
      </c>
      <c r="I294" s="35"/>
      <c r="J294" s="34"/>
      <c r="K294" s="34"/>
      <c r="L294" s="32"/>
      <c r="M294" s="32"/>
    </row>
    <row r="295" spans="1:13" ht="75" x14ac:dyDescent="0.25">
      <c r="A295" s="164">
        <v>276</v>
      </c>
      <c r="B295" s="207"/>
      <c r="C295" s="12" t="s">
        <v>72</v>
      </c>
      <c r="D295" s="163" t="s">
        <v>73</v>
      </c>
      <c r="E295" s="112" t="s">
        <v>8</v>
      </c>
      <c r="F295" s="20">
        <f>2*1.8*2.8+0.8*2.1</f>
        <v>11.76</v>
      </c>
      <c r="G295" s="21" t="s">
        <v>277</v>
      </c>
      <c r="H295" s="13" t="s">
        <v>196</v>
      </c>
      <c r="I295" s="35"/>
      <c r="J295" s="34"/>
      <c r="K295" s="34"/>
      <c r="L295" s="32"/>
      <c r="M295" s="32"/>
    </row>
    <row r="296" spans="1:13" ht="60" x14ac:dyDescent="0.25">
      <c r="A296" s="164">
        <v>277</v>
      </c>
      <c r="B296" s="207"/>
      <c r="C296" s="160" t="s">
        <v>74</v>
      </c>
      <c r="D296" s="163" t="s">
        <v>75</v>
      </c>
      <c r="E296" s="112" t="s">
        <v>8</v>
      </c>
      <c r="F296" s="20">
        <f>49.52</f>
        <v>49.52</v>
      </c>
      <c r="G296" s="21">
        <f>49.52</f>
        <v>49.52</v>
      </c>
      <c r="H296" s="13" t="s">
        <v>196</v>
      </c>
      <c r="I296" s="35"/>
      <c r="J296" s="34"/>
      <c r="K296" s="34"/>
      <c r="L296" s="32"/>
      <c r="M296" s="32"/>
    </row>
    <row r="297" spans="1:13" ht="60" x14ac:dyDescent="0.25">
      <c r="A297" s="164">
        <v>278</v>
      </c>
      <c r="B297" s="207"/>
      <c r="C297" s="113" t="s">
        <v>76</v>
      </c>
      <c r="D297" s="179" t="s">
        <v>77</v>
      </c>
      <c r="E297" s="112" t="s">
        <v>8</v>
      </c>
      <c r="F297" s="20">
        <v>49.52</v>
      </c>
      <c r="G297" s="21">
        <v>49.52</v>
      </c>
      <c r="H297" s="13" t="s">
        <v>196</v>
      </c>
      <c r="I297" s="35"/>
      <c r="J297" s="34"/>
      <c r="K297" s="34"/>
      <c r="L297" s="32"/>
      <c r="M297" s="32"/>
    </row>
    <row r="298" spans="1:13" ht="45" x14ac:dyDescent="0.25">
      <c r="A298" s="164">
        <v>279</v>
      </c>
      <c r="B298" s="207" t="s">
        <v>117</v>
      </c>
      <c r="C298" s="12" t="s">
        <v>68</v>
      </c>
      <c r="D298" s="180" t="s">
        <v>69</v>
      </c>
      <c r="E298" s="112" t="s">
        <v>8</v>
      </c>
      <c r="F298" s="20">
        <f>28.15*2.8-F300</f>
        <v>67.059999999999988</v>
      </c>
      <c r="G298" s="21" t="s">
        <v>276</v>
      </c>
      <c r="H298" s="13" t="s">
        <v>196</v>
      </c>
      <c r="I298" s="35"/>
      <c r="J298" s="34"/>
      <c r="K298" s="34"/>
      <c r="L298" s="32"/>
      <c r="M298" s="32"/>
    </row>
    <row r="299" spans="1:13" ht="60" x14ac:dyDescent="0.25">
      <c r="A299" s="164">
        <v>280</v>
      </c>
      <c r="B299" s="207"/>
      <c r="C299" s="12" t="s">
        <v>70</v>
      </c>
      <c r="D299" s="180" t="s">
        <v>71</v>
      </c>
      <c r="E299" s="112" t="s">
        <v>8</v>
      </c>
      <c r="F299" s="20">
        <f>F298</f>
        <v>67.059999999999988</v>
      </c>
      <c r="G299" s="21" t="str">
        <f>G298</f>
        <v>28,15*2,8-(2*1,8*2,8+0,8*2,1)</v>
      </c>
      <c r="H299" s="13" t="s">
        <v>196</v>
      </c>
      <c r="I299" s="35"/>
      <c r="J299" s="34"/>
      <c r="K299" s="34"/>
      <c r="L299" s="32"/>
      <c r="M299" s="32"/>
    </row>
    <row r="300" spans="1:13" ht="75" x14ac:dyDescent="0.25">
      <c r="A300" s="164">
        <v>281</v>
      </c>
      <c r="B300" s="207"/>
      <c r="C300" s="12" t="s">
        <v>72</v>
      </c>
      <c r="D300" s="163" t="s">
        <v>73</v>
      </c>
      <c r="E300" s="112" t="s">
        <v>8</v>
      </c>
      <c r="F300" s="20">
        <f>2*1.8*2.8+0.8*2.1</f>
        <v>11.76</v>
      </c>
      <c r="G300" s="21" t="s">
        <v>277</v>
      </c>
      <c r="H300" s="13" t="s">
        <v>196</v>
      </c>
      <c r="I300" s="35"/>
      <c r="J300" s="34"/>
      <c r="K300" s="34"/>
      <c r="L300" s="32"/>
      <c r="M300" s="32"/>
    </row>
    <row r="301" spans="1:13" ht="60" x14ac:dyDescent="0.25">
      <c r="A301" s="164">
        <v>282</v>
      </c>
      <c r="B301" s="207"/>
      <c r="C301" s="160" t="s">
        <v>74</v>
      </c>
      <c r="D301" s="163" t="s">
        <v>75</v>
      </c>
      <c r="E301" s="112" t="s">
        <v>8</v>
      </c>
      <c r="F301" s="20">
        <f>49.52</f>
        <v>49.52</v>
      </c>
      <c r="G301" s="21">
        <f>49.52</f>
        <v>49.52</v>
      </c>
      <c r="H301" s="13" t="s">
        <v>196</v>
      </c>
      <c r="I301" s="35"/>
      <c r="J301" s="34"/>
      <c r="K301" s="34"/>
      <c r="L301" s="32"/>
      <c r="M301" s="32"/>
    </row>
    <row r="302" spans="1:13" ht="60" x14ac:dyDescent="0.25">
      <c r="A302" s="164">
        <v>283</v>
      </c>
      <c r="B302" s="207"/>
      <c r="C302" s="113" t="s">
        <v>76</v>
      </c>
      <c r="D302" s="179" t="s">
        <v>77</v>
      </c>
      <c r="E302" s="112" t="s">
        <v>8</v>
      </c>
      <c r="F302" s="20">
        <v>49.52</v>
      </c>
      <c r="G302" s="21">
        <v>49.52</v>
      </c>
      <c r="H302" s="13" t="s">
        <v>196</v>
      </c>
      <c r="I302" s="35"/>
      <c r="J302" s="34"/>
      <c r="K302" s="34"/>
      <c r="L302" s="32"/>
      <c r="M302" s="32"/>
    </row>
    <row r="303" spans="1:13" ht="45" x14ac:dyDescent="0.25">
      <c r="A303" s="164">
        <v>284</v>
      </c>
      <c r="B303" s="207" t="s">
        <v>118</v>
      </c>
      <c r="C303" s="12" t="s">
        <v>68</v>
      </c>
      <c r="D303" s="180" t="s">
        <v>69</v>
      </c>
      <c r="E303" s="112" t="s">
        <v>8</v>
      </c>
      <c r="F303" s="20">
        <f>15.2*2.8-F305</f>
        <v>36.399999999999991</v>
      </c>
      <c r="G303" s="21" t="s">
        <v>278</v>
      </c>
      <c r="H303" s="13" t="s">
        <v>196</v>
      </c>
      <c r="I303" s="35"/>
      <c r="J303" s="34"/>
      <c r="K303" s="34"/>
      <c r="L303" s="32"/>
      <c r="M303" s="32"/>
    </row>
    <row r="304" spans="1:13" ht="60" x14ac:dyDescent="0.25">
      <c r="A304" s="164">
        <v>285</v>
      </c>
      <c r="B304" s="207"/>
      <c r="C304" s="12" t="s">
        <v>70</v>
      </c>
      <c r="D304" s="180" t="s">
        <v>71</v>
      </c>
      <c r="E304" s="112" t="s">
        <v>8</v>
      </c>
      <c r="F304" s="20">
        <f>F303</f>
        <v>36.399999999999991</v>
      </c>
      <c r="G304" s="21" t="str">
        <f>G303</f>
        <v>15,2*2,8-(2,8*1,6+0,8*2,1)</v>
      </c>
      <c r="H304" s="13" t="s">
        <v>196</v>
      </c>
      <c r="I304" s="35"/>
      <c r="J304" s="34"/>
      <c r="K304" s="34"/>
      <c r="L304" s="32"/>
      <c r="M304" s="32"/>
    </row>
    <row r="305" spans="1:13" ht="75" x14ac:dyDescent="0.25">
      <c r="A305" s="164">
        <v>286</v>
      </c>
      <c r="B305" s="207"/>
      <c r="C305" s="12" t="s">
        <v>72</v>
      </c>
      <c r="D305" s="163" t="s">
        <v>73</v>
      </c>
      <c r="E305" s="112" t="s">
        <v>8</v>
      </c>
      <c r="F305" s="20">
        <f>2.8*1.6+0.8*2.1</f>
        <v>6.16</v>
      </c>
      <c r="G305" s="21" t="s">
        <v>279</v>
      </c>
      <c r="H305" s="13" t="s">
        <v>196</v>
      </c>
      <c r="I305" s="35"/>
      <c r="J305" s="34"/>
      <c r="K305" s="34"/>
      <c r="L305" s="32"/>
      <c r="M305" s="32"/>
    </row>
    <row r="306" spans="1:13" ht="60" x14ac:dyDescent="0.25">
      <c r="A306" s="164">
        <v>287</v>
      </c>
      <c r="B306" s="207"/>
      <c r="C306" s="160" t="s">
        <v>74</v>
      </c>
      <c r="D306" s="163" t="s">
        <v>75</v>
      </c>
      <c r="E306" s="112" t="s">
        <v>8</v>
      </c>
      <c r="F306" s="20">
        <f>14.23</f>
        <v>14.23</v>
      </c>
      <c r="G306" s="21">
        <f>14.23</f>
        <v>14.23</v>
      </c>
      <c r="H306" s="13" t="s">
        <v>196</v>
      </c>
      <c r="I306" s="35"/>
      <c r="J306" s="34"/>
      <c r="K306" s="34"/>
      <c r="L306" s="32"/>
      <c r="M306" s="32"/>
    </row>
    <row r="307" spans="1:13" ht="60" x14ac:dyDescent="0.25">
      <c r="A307" s="164">
        <v>288</v>
      </c>
      <c r="B307" s="207"/>
      <c r="C307" s="113" t="s">
        <v>76</v>
      </c>
      <c r="D307" s="179" t="s">
        <v>77</v>
      </c>
      <c r="E307" s="112" t="s">
        <v>8</v>
      </c>
      <c r="F307" s="20">
        <v>14.23</v>
      </c>
      <c r="G307" s="21">
        <v>14.23</v>
      </c>
      <c r="H307" s="13" t="s">
        <v>196</v>
      </c>
      <c r="I307" s="35"/>
      <c r="J307" s="34"/>
      <c r="K307" s="34"/>
      <c r="L307" s="32"/>
      <c r="M307" s="32"/>
    </row>
    <row r="308" spans="1:13" ht="75" x14ac:dyDescent="0.25">
      <c r="A308" s="164">
        <v>289</v>
      </c>
      <c r="B308" s="207" t="s">
        <v>119</v>
      </c>
      <c r="C308" s="12" t="s">
        <v>72</v>
      </c>
      <c r="D308" s="163" t="s">
        <v>73</v>
      </c>
      <c r="E308" s="112" t="s">
        <v>8</v>
      </c>
      <c r="F308" s="20">
        <f>2*0.5*0.7+0.6*2.1</f>
        <v>1.96</v>
      </c>
      <c r="G308" s="21" t="s">
        <v>280</v>
      </c>
      <c r="H308" s="13" t="s">
        <v>196</v>
      </c>
      <c r="I308" s="35"/>
      <c r="J308" s="34"/>
      <c r="K308" s="34"/>
      <c r="L308" s="32"/>
      <c r="M308" s="32"/>
    </row>
    <row r="309" spans="1:13" ht="60" x14ac:dyDescent="0.25">
      <c r="A309" s="164">
        <v>290</v>
      </c>
      <c r="B309" s="207"/>
      <c r="C309" s="160" t="s">
        <v>74</v>
      </c>
      <c r="D309" s="163" t="s">
        <v>75</v>
      </c>
      <c r="E309" s="112" t="s">
        <v>8</v>
      </c>
      <c r="F309" s="20">
        <v>9.56</v>
      </c>
      <c r="G309" s="21">
        <v>9.56</v>
      </c>
      <c r="H309" s="13" t="s">
        <v>196</v>
      </c>
      <c r="I309" s="35"/>
      <c r="J309" s="34"/>
      <c r="K309" s="34"/>
      <c r="L309" s="32"/>
      <c r="M309" s="32"/>
    </row>
    <row r="310" spans="1:13" ht="60" x14ac:dyDescent="0.25">
      <c r="A310" s="164">
        <v>291</v>
      </c>
      <c r="B310" s="207"/>
      <c r="C310" s="113" t="s">
        <v>76</v>
      </c>
      <c r="D310" s="179" t="s">
        <v>77</v>
      </c>
      <c r="E310" s="112" t="s">
        <v>8</v>
      </c>
      <c r="F310" s="20">
        <v>9.56</v>
      </c>
      <c r="G310" s="21">
        <v>9.56</v>
      </c>
      <c r="H310" s="13" t="s">
        <v>196</v>
      </c>
      <c r="I310" s="35"/>
      <c r="J310" s="34"/>
      <c r="K310" s="34"/>
      <c r="L310" s="32"/>
      <c r="M310" s="32"/>
    </row>
    <row r="311" spans="1:13" ht="75" x14ac:dyDescent="0.25">
      <c r="A311" s="164">
        <v>292</v>
      </c>
      <c r="B311" s="207" t="s">
        <v>120</v>
      </c>
      <c r="C311" s="12" t="s">
        <v>72</v>
      </c>
      <c r="D311" s="163" t="s">
        <v>73</v>
      </c>
      <c r="E311" s="112" t="s">
        <v>8</v>
      </c>
      <c r="F311" s="20">
        <f>2*0.5*0.7+0.6*2.1</f>
        <v>1.96</v>
      </c>
      <c r="G311" s="21" t="s">
        <v>280</v>
      </c>
      <c r="H311" s="13" t="s">
        <v>196</v>
      </c>
      <c r="I311" s="35"/>
      <c r="J311" s="34"/>
      <c r="K311" s="34"/>
      <c r="L311" s="32"/>
      <c r="M311" s="32"/>
    </row>
    <row r="312" spans="1:13" ht="60" x14ac:dyDescent="0.25">
      <c r="A312" s="164">
        <v>293</v>
      </c>
      <c r="B312" s="207"/>
      <c r="C312" s="160" t="s">
        <v>74</v>
      </c>
      <c r="D312" s="163" t="s">
        <v>75</v>
      </c>
      <c r="E312" s="112" t="s">
        <v>8</v>
      </c>
      <c r="F312" s="20">
        <v>9.56</v>
      </c>
      <c r="G312" s="21">
        <v>9.56</v>
      </c>
      <c r="H312" s="13" t="s">
        <v>196</v>
      </c>
      <c r="I312" s="35"/>
      <c r="J312" s="34"/>
      <c r="K312" s="34"/>
      <c r="L312" s="32"/>
      <c r="M312" s="32"/>
    </row>
    <row r="313" spans="1:13" ht="60" x14ac:dyDescent="0.25">
      <c r="A313" s="164">
        <v>294</v>
      </c>
      <c r="B313" s="207"/>
      <c r="C313" s="113" t="s">
        <v>76</v>
      </c>
      <c r="D313" s="179" t="s">
        <v>77</v>
      </c>
      <c r="E313" s="112" t="s">
        <v>8</v>
      </c>
      <c r="F313" s="20">
        <v>9.56</v>
      </c>
      <c r="G313" s="21">
        <v>9.56</v>
      </c>
      <c r="H313" s="13" t="s">
        <v>196</v>
      </c>
      <c r="I313" s="35"/>
      <c r="J313" s="34"/>
      <c r="K313" s="34"/>
      <c r="L313" s="32"/>
      <c r="M313" s="32"/>
    </row>
    <row r="314" spans="1:13" ht="45" x14ac:dyDescent="0.25">
      <c r="A314" s="164">
        <v>295</v>
      </c>
      <c r="B314" s="207" t="s">
        <v>121</v>
      </c>
      <c r="C314" s="12" t="s">
        <v>68</v>
      </c>
      <c r="D314" s="180" t="s">
        <v>69</v>
      </c>
      <c r="E314" s="112" t="s">
        <v>8</v>
      </c>
      <c r="F314" s="20">
        <f>8.4*2.8-F316</f>
        <v>21.14</v>
      </c>
      <c r="G314" s="21" t="s">
        <v>281</v>
      </c>
      <c r="H314" s="13" t="s">
        <v>196</v>
      </c>
      <c r="I314" s="35"/>
      <c r="J314" s="34"/>
      <c r="K314" s="34"/>
      <c r="L314" s="32"/>
      <c r="M314" s="32"/>
    </row>
    <row r="315" spans="1:13" ht="60" x14ac:dyDescent="0.25">
      <c r="A315" s="164">
        <v>296</v>
      </c>
      <c r="B315" s="207"/>
      <c r="C315" s="12" t="s">
        <v>70</v>
      </c>
      <c r="D315" s="180" t="s">
        <v>71</v>
      </c>
      <c r="E315" s="112" t="s">
        <v>8</v>
      </c>
      <c r="F315" s="20">
        <f>F314</f>
        <v>21.14</v>
      </c>
      <c r="G315" s="21" t="str">
        <f>G314</f>
        <v>8,4*2,8-(2*0,7*0,5+0,8*2,1)</v>
      </c>
      <c r="H315" s="13" t="s">
        <v>196</v>
      </c>
      <c r="I315" s="35"/>
      <c r="J315" s="34"/>
      <c r="K315" s="34"/>
      <c r="L315" s="32"/>
      <c r="M315" s="32"/>
    </row>
    <row r="316" spans="1:13" ht="75" x14ac:dyDescent="0.25">
      <c r="A316" s="164">
        <v>297</v>
      </c>
      <c r="B316" s="207"/>
      <c r="C316" s="12" t="s">
        <v>72</v>
      </c>
      <c r="D316" s="163" t="s">
        <v>73</v>
      </c>
      <c r="E316" s="112" t="s">
        <v>8</v>
      </c>
      <c r="F316" s="20">
        <f>2*0.7*0.5+0.8*2.1</f>
        <v>2.38</v>
      </c>
      <c r="G316" s="21" t="s">
        <v>282</v>
      </c>
      <c r="H316" s="13" t="s">
        <v>196</v>
      </c>
      <c r="I316" s="35"/>
      <c r="J316" s="34"/>
      <c r="K316" s="34"/>
      <c r="L316" s="32"/>
      <c r="M316" s="32"/>
    </row>
    <row r="317" spans="1:13" ht="60" x14ac:dyDescent="0.25">
      <c r="A317" s="164">
        <v>298</v>
      </c>
      <c r="B317" s="207"/>
      <c r="C317" s="160" t="s">
        <v>74</v>
      </c>
      <c r="D317" s="163" t="s">
        <v>75</v>
      </c>
      <c r="E317" s="112" t="s">
        <v>8</v>
      </c>
      <c r="F317" s="20">
        <v>4.4000000000000004</v>
      </c>
      <c r="G317" s="21">
        <v>4.4000000000000004</v>
      </c>
      <c r="H317" s="13" t="s">
        <v>196</v>
      </c>
      <c r="I317" s="35"/>
      <c r="J317" s="34"/>
      <c r="K317" s="34"/>
      <c r="L317" s="32"/>
      <c r="M317" s="32"/>
    </row>
    <row r="318" spans="1:13" ht="60" x14ac:dyDescent="0.25">
      <c r="A318" s="164">
        <v>299</v>
      </c>
      <c r="B318" s="207"/>
      <c r="C318" s="113" t="s">
        <v>76</v>
      </c>
      <c r="D318" s="179" t="s">
        <v>77</v>
      </c>
      <c r="E318" s="112" t="s">
        <v>8</v>
      </c>
      <c r="F318" s="20">
        <v>4.4000000000000004</v>
      </c>
      <c r="G318" s="21">
        <v>4.4000000000000004</v>
      </c>
      <c r="H318" s="13" t="s">
        <v>196</v>
      </c>
      <c r="I318" s="35"/>
      <c r="J318" s="34"/>
      <c r="K318" s="34"/>
      <c r="L318" s="32"/>
      <c r="M318" s="32"/>
    </row>
    <row r="319" spans="1:13" ht="75" x14ac:dyDescent="0.25">
      <c r="A319" s="164">
        <v>300</v>
      </c>
      <c r="B319" s="207" t="s">
        <v>123</v>
      </c>
      <c r="C319" s="12" t="s">
        <v>72</v>
      </c>
      <c r="D319" s="163" t="s">
        <v>73</v>
      </c>
      <c r="E319" s="112" t="s">
        <v>8</v>
      </c>
      <c r="F319" s="20">
        <f>1.8*1.6+2.8*1.6+0.8*2.1</f>
        <v>9.0399999999999991</v>
      </c>
      <c r="G319" s="21" t="s">
        <v>283</v>
      </c>
      <c r="H319" s="13" t="s">
        <v>196</v>
      </c>
      <c r="I319" s="35"/>
      <c r="J319" s="34"/>
      <c r="K319" s="34"/>
      <c r="L319" s="32"/>
      <c r="M319" s="32"/>
    </row>
    <row r="320" spans="1:13" ht="60" x14ac:dyDescent="0.25">
      <c r="A320" s="164">
        <v>301</v>
      </c>
      <c r="B320" s="207"/>
      <c r="C320" s="160" t="s">
        <v>74</v>
      </c>
      <c r="D320" s="163" t="s">
        <v>75</v>
      </c>
      <c r="E320" s="112" t="s">
        <v>8</v>
      </c>
      <c r="F320" s="20">
        <v>16.149999999999999</v>
      </c>
      <c r="G320" s="21">
        <v>16.149999999999999</v>
      </c>
      <c r="H320" s="13" t="s">
        <v>196</v>
      </c>
      <c r="I320" s="35"/>
      <c r="J320" s="34"/>
      <c r="K320" s="34"/>
      <c r="L320" s="32"/>
      <c r="M320" s="32"/>
    </row>
    <row r="321" spans="1:13" ht="60" x14ac:dyDescent="0.25">
      <c r="A321" s="164">
        <v>302</v>
      </c>
      <c r="B321" s="207"/>
      <c r="C321" s="113" t="s">
        <v>76</v>
      </c>
      <c r="D321" s="179" t="s">
        <v>77</v>
      </c>
      <c r="E321" s="112" t="s">
        <v>8</v>
      </c>
      <c r="F321" s="20">
        <v>16.149999999999999</v>
      </c>
      <c r="G321" s="21">
        <v>16.149999999999999</v>
      </c>
      <c r="H321" s="13" t="s">
        <v>196</v>
      </c>
      <c r="I321" s="35"/>
      <c r="J321" s="34"/>
      <c r="K321" s="34"/>
      <c r="L321" s="32"/>
      <c r="M321" s="32"/>
    </row>
    <row r="322" spans="1:13" ht="75" x14ac:dyDescent="0.25">
      <c r="A322" s="164">
        <v>303</v>
      </c>
      <c r="B322" s="207" t="s">
        <v>122</v>
      </c>
      <c r="C322" s="12" t="s">
        <v>72</v>
      </c>
      <c r="D322" s="163" t="s">
        <v>73</v>
      </c>
      <c r="E322" s="112" t="s">
        <v>8</v>
      </c>
      <c r="F322" s="20">
        <f>0.5*0.5+0.6*2.1</f>
        <v>1.51</v>
      </c>
      <c r="G322" s="21" t="s">
        <v>284</v>
      </c>
      <c r="H322" s="13" t="s">
        <v>196</v>
      </c>
      <c r="I322" s="35"/>
      <c r="J322" s="34"/>
      <c r="K322" s="34"/>
      <c r="L322" s="32"/>
      <c r="M322" s="32"/>
    </row>
    <row r="323" spans="1:13" ht="60" x14ac:dyDescent="0.25">
      <c r="A323" s="164">
        <v>304</v>
      </c>
      <c r="B323" s="207"/>
      <c r="C323" s="160" t="s">
        <v>74</v>
      </c>
      <c r="D323" s="163" t="s">
        <v>75</v>
      </c>
      <c r="E323" s="112" t="s">
        <v>8</v>
      </c>
      <c r="F323" s="20">
        <v>1.85</v>
      </c>
      <c r="G323" s="21">
        <v>1.85</v>
      </c>
      <c r="H323" s="13" t="s">
        <v>196</v>
      </c>
      <c r="I323" s="35"/>
      <c r="J323" s="34"/>
      <c r="K323" s="34"/>
      <c r="L323" s="32"/>
      <c r="M323" s="32"/>
    </row>
    <row r="324" spans="1:13" ht="60" x14ac:dyDescent="0.25">
      <c r="A324" s="164">
        <v>305</v>
      </c>
      <c r="B324" s="207"/>
      <c r="C324" s="113" t="s">
        <v>76</v>
      </c>
      <c r="D324" s="179" t="s">
        <v>77</v>
      </c>
      <c r="E324" s="112" t="s">
        <v>8</v>
      </c>
      <c r="F324" s="20">
        <v>1.85</v>
      </c>
      <c r="G324" s="21">
        <v>1.85</v>
      </c>
      <c r="H324" s="13" t="s">
        <v>196</v>
      </c>
      <c r="I324" s="35"/>
      <c r="J324" s="34"/>
      <c r="K324" s="34"/>
      <c r="L324" s="32"/>
      <c r="M324" s="32"/>
    </row>
    <row r="325" spans="1:13" ht="90" x14ac:dyDescent="0.25">
      <c r="A325" s="164">
        <v>306</v>
      </c>
      <c r="B325" s="207" t="s">
        <v>125</v>
      </c>
      <c r="C325" s="12" t="s">
        <v>68</v>
      </c>
      <c r="D325" s="180" t="s">
        <v>69</v>
      </c>
      <c r="E325" s="112" t="s">
        <v>8</v>
      </c>
      <c r="F325" s="20">
        <f>(2*8.4*3+2*(6.5*3+6.5*1.25/2))+(2*8.5*3+2*(6.5*3+6.5*1.25/2))+(2*((3.2+5.3)*4.55/2)+(14.5*3.2)+(14.5*5.3))+((17.35*6)+2*((4.5+3.2)*4.4/2)+(17.35*3.2)+2*((4.5+3.5)*4.4/2))+(5.15+25.75)*1-F280-F285-F290-F295-F300-F305-F308-F311-F316--F319-F322</f>
        <v>567.07500000000005</v>
      </c>
      <c r="G325" s="21" t="s">
        <v>285</v>
      </c>
      <c r="H325" s="13" t="s">
        <v>196</v>
      </c>
      <c r="I325" s="35"/>
      <c r="J325" s="34"/>
      <c r="K325" s="34"/>
      <c r="L325" s="32"/>
      <c r="M325" s="32"/>
    </row>
    <row r="326" spans="1:13" ht="90" x14ac:dyDescent="0.25">
      <c r="A326" s="164">
        <v>307</v>
      </c>
      <c r="B326" s="207"/>
      <c r="C326" s="12" t="s">
        <v>70</v>
      </c>
      <c r="D326" s="180" t="s">
        <v>71</v>
      </c>
      <c r="E326" s="112" t="s">
        <v>8</v>
      </c>
      <c r="F326" s="20">
        <f>F325</f>
        <v>567.07500000000005</v>
      </c>
      <c r="G326" s="21" t="str">
        <f>G325</f>
        <v>(2*8,4*3+2*(6,5*3+6,5*1,25/2))+(2*8,5*3+2*(6,5*3+6,5*1,25/2))+(2*((3,2+5,3)*4,55/2)+(14,5*3,2)+(14,5*5,3))+((17,35*6)+2*((4,5+3,2)*4,4/2)+(17,35*3,2)+2*((4,5+3,5)*4,4/2))+(5,15+25,75)*1-G280-G285-G290-G295-G300-G305-G308-G311-G316--G319-G322</v>
      </c>
      <c r="H326" s="13" t="s">
        <v>196</v>
      </c>
      <c r="I326" s="35"/>
      <c r="J326" s="34"/>
      <c r="K326" s="34"/>
      <c r="L326" s="32"/>
      <c r="M326" s="32"/>
    </row>
    <row r="327" spans="1:13" ht="45" x14ac:dyDescent="0.25">
      <c r="A327" s="164">
        <v>308</v>
      </c>
      <c r="B327" s="207" t="s">
        <v>124</v>
      </c>
      <c r="C327" s="12" t="s">
        <v>68</v>
      </c>
      <c r="D327" s="180" t="s">
        <v>69</v>
      </c>
      <c r="E327" s="112" t="s">
        <v>8</v>
      </c>
      <c r="F327" s="20">
        <f>F328</f>
        <v>302.03800000000001</v>
      </c>
      <c r="G327" s="21" t="str">
        <f>G328</f>
        <v>140,29*2,2-3*2,2</v>
      </c>
      <c r="H327" s="13" t="s">
        <v>196</v>
      </c>
      <c r="I327" s="35"/>
      <c r="J327" s="34"/>
      <c r="K327" s="34"/>
      <c r="L327" s="32"/>
      <c r="M327" s="32"/>
    </row>
    <row r="328" spans="1:13" ht="60" x14ac:dyDescent="0.25">
      <c r="A328" s="164">
        <v>309</v>
      </c>
      <c r="B328" s="207"/>
      <c r="C328" s="12" t="s">
        <v>70</v>
      </c>
      <c r="D328" s="180" t="s">
        <v>71</v>
      </c>
      <c r="E328" s="112" t="s">
        <v>8</v>
      </c>
      <c r="F328" s="20">
        <f>140.29*2.2-F329</f>
        <v>302.03800000000001</v>
      </c>
      <c r="G328" s="21" t="s">
        <v>286</v>
      </c>
      <c r="H328" s="13" t="s">
        <v>196</v>
      </c>
      <c r="I328" s="35"/>
      <c r="J328" s="34"/>
      <c r="K328" s="34"/>
      <c r="L328" s="32"/>
      <c r="M328" s="32"/>
    </row>
    <row r="329" spans="1:13" ht="75" x14ac:dyDescent="0.25">
      <c r="A329" s="164">
        <v>310</v>
      </c>
      <c r="B329" s="207"/>
      <c r="C329" s="12" t="s">
        <v>72</v>
      </c>
      <c r="D329" s="163" t="s">
        <v>73</v>
      </c>
      <c r="E329" s="112" t="s">
        <v>8</v>
      </c>
      <c r="F329" s="20">
        <f>3*2.2</f>
        <v>6.6000000000000005</v>
      </c>
      <c r="G329" s="21">
        <f>3*2.2</f>
        <v>6.6000000000000005</v>
      </c>
      <c r="H329" s="13" t="s">
        <v>196</v>
      </c>
      <c r="I329" s="35"/>
      <c r="J329" s="34"/>
      <c r="K329" s="34"/>
      <c r="L329" s="32"/>
      <c r="M329" s="32"/>
    </row>
    <row r="330" spans="1:13" ht="45" customHeight="1" x14ac:dyDescent="0.25">
      <c r="A330" s="164">
        <v>311</v>
      </c>
      <c r="B330" s="208" t="s">
        <v>79</v>
      </c>
      <c r="C330" s="208"/>
      <c r="D330" s="208"/>
      <c r="E330" s="208"/>
      <c r="F330" s="208"/>
      <c r="G330" s="208"/>
      <c r="H330" s="208"/>
      <c r="I330" s="35"/>
      <c r="J330" s="34"/>
      <c r="K330" s="34"/>
      <c r="L330" s="32"/>
      <c r="M330" s="32"/>
    </row>
    <row r="331" spans="1:13" ht="45" customHeight="1" x14ac:dyDescent="0.25">
      <c r="A331" s="164">
        <v>312</v>
      </c>
      <c r="B331" s="112"/>
      <c r="C331" s="150" t="s">
        <v>155</v>
      </c>
      <c r="D331" s="176" t="s">
        <v>154</v>
      </c>
      <c r="E331" s="112" t="s">
        <v>8</v>
      </c>
      <c r="F331" s="112">
        <v>2.88</v>
      </c>
      <c r="G331" s="160">
        <v>2.88</v>
      </c>
      <c r="H331" s="13" t="s">
        <v>196</v>
      </c>
      <c r="I331" s="35"/>
      <c r="J331" s="34"/>
      <c r="K331" s="34"/>
      <c r="L331" s="32"/>
      <c r="M331" s="32"/>
    </row>
    <row r="332" spans="1:13" ht="45" customHeight="1" x14ac:dyDescent="0.25">
      <c r="A332" s="164">
        <v>313</v>
      </c>
      <c r="B332" s="209" t="s">
        <v>104</v>
      </c>
      <c r="C332" s="112" t="s">
        <v>150</v>
      </c>
      <c r="D332" s="163" t="s">
        <v>147</v>
      </c>
      <c r="E332" s="112" t="s">
        <v>146</v>
      </c>
      <c r="F332" s="112">
        <v>4</v>
      </c>
      <c r="G332" s="160">
        <v>4</v>
      </c>
      <c r="H332" s="13" t="s">
        <v>224</v>
      </c>
      <c r="I332" s="35"/>
      <c r="J332" s="34"/>
      <c r="K332" s="34"/>
      <c r="L332" s="32"/>
      <c r="M332" s="32"/>
    </row>
    <row r="333" spans="1:13" ht="45" customHeight="1" x14ac:dyDescent="0.25">
      <c r="A333" s="164">
        <v>314</v>
      </c>
      <c r="B333" s="209"/>
      <c r="C333" s="112" t="s">
        <v>149</v>
      </c>
      <c r="D333" s="163" t="s">
        <v>148</v>
      </c>
      <c r="E333" s="112" t="s">
        <v>19</v>
      </c>
      <c r="F333" s="112">
        <v>4</v>
      </c>
      <c r="G333" s="160">
        <v>4</v>
      </c>
      <c r="H333" s="13" t="s">
        <v>224</v>
      </c>
      <c r="I333" s="35"/>
      <c r="J333" s="34"/>
      <c r="K333" s="34"/>
      <c r="L333" s="32"/>
      <c r="M333" s="32"/>
    </row>
    <row r="334" spans="1:13" ht="45" x14ac:dyDescent="0.25">
      <c r="A334" s="164">
        <v>315</v>
      </c>
      <c r="B334" s="207" t="s">
        <v>114</v>
      </c>
      <c r="C334" s="12" t="s">
        <v>68</v>
      </c>
      <c r="D334" s="180" t="s">
        <v>69</v>
      </c>
      <c r="E334" s="112" t="s">
        <v>8</v>
      </c>
      <c r="F334" s="20">
        <f>22.1*2.8-F336</f>
        <v>55.400000000000006</v>
      </c>
      <c r="G334" s="21" t="s">
        <v>288</v>
      </c>
      <c r="H334" s="13" t="s">
        <v>196</v>
      </c>
      <c r="I334" s="35"/>
      <c r="J334" s="34"/>
      <c r="K334" s="34"/>
      <c r="L334" s="32"/>
      <c r="M334" s="32"/>
    </row>
    <row r="335" spans="1:13" ht="60" x14ac:dyDescent="0.25">
      <c r="A335" s="164">
        <v>316</v>
      </c>
      <c r="B335" s="207"/>
      <c r="C335" s="12" t="s">
        <v>70</v>
      </c>
      <c r="D335" s="180" t="s">
        <v>71</v>
      </c>
      <c r="E335" s="112" t="s">
        <v>8</v>
      </c>
      <c r="F335" s="20">
        <f>F334</f>
        <v>55.400000000000006</v>
      </c>
      <c r="G335" s="21" t="str">
        <f>G334</f>
        <v>22,1*2,8-(2*1,2*2+0,8*2,1)</v>
      </c>
      <c r="H335" s="13" t="s">
        <v>196</v>
      </c>
      <c r="I335" s="35"/>
      <c r="J335" s="34"/>
      <c r="K335" s="34"/>
      <c r="L335" s="32"/>
      <c r="M335" s="32"/>
    </row>
    <row r="336" spans="1:13" ht="75" x14ac:dyDescent="0.25">
      <c r="A336" s="164">
        <v>317</v>
      </c>
      <c r="B336" s="207"/>
      <c r="C336" s="12" t="s">
        <v>72</v>
      </c>
      <c r="D336" s="163" t="s">
        <v>73</v>
      </c>
      <c r="E336" s="112" t="s">
        <v>8</v>
      </c>
      <c r="F336" s="20">
        <f>2*1.2*2+0.8*2.1</f>
        <v>6.48</v>
      </c>
      <c r="G336" s="21" t="s">
        <v>287</v>
      </c>
      <c r="H336" s="13" t="s">
        <v>196</v>
      </c>
      <c r="I336" s="35"/>
      <c r="J336" s="34"/>
      <c r="K336" s="34"/>
      <c r="L336" s="32"/>
      <c r="M336" s="32"/>
    </row>
    <row r="337" spans="1:13" ht="60" x14ac:dyDescent="0.25">
      <c r="A337" s="164">
        <v>318</v>
      </c>
      <c r="B337" s="207"/>
      <c r="C337" s="160" t="s">
        <v>74</v>
      </c>
      <c r="D337" s="163" t="s">
        <v>75</v>
      </c>
      <c r="E337" s="112" t="s">
        <v>8</v>
      </c>
      <c r="F337" s="20">
        <v>30.25</v>
      </c>
      <c r="G337" s="21">
        <v>30.25</v>
      </c>
      <c r="H337" s="13" t="s">
        <v>196</v>
      </c>
      <c r="I337" s="35"/>
      <c r="J337" s="34"/>
      <c r="K337" s="34"/>
      <c r="L337" s="32"/>
      <c r="M337" s="32"/>
    </row>
    <row r="338" spans="1:13" ht="60" x14ac:dyDescent="0.25">
      <c r="A338" s="164">
        <v>319</v>
      </c>
      <c r="B338" s="207"/>
      <c r="C338" s="113" t="s">
        <v>76</v>
      </c>
      <c r="D338" s="179" t="s">
        <v>77</v>
      </c>
      <c r="E338" s="112" t="s">
        <v>8</v>
      </c>
      <c r="F338" s="20">
        <v>30.25</v>
      </c>
      <c r="G338" s="21">
        <v>30.25</v>
      </c>
      <c r="H338" s="13" t="s">
        <v>196</v>
      </c>
      <c r="I338" s="35"/>
      <c r="J338" s="34"/>
      <c r="K338" s="34"/>
      <c r="L338" s="32"/>
      <c r="M338" s="32"/>
    </row>
    <row r="339" spans="1:13" ht="45" x14ac:dyDescent="0.25">
      <c r="A339" s="164">
        <v>320</v>
      </c>
      <c r="B339" s="207" t="s">
        <v>115</v>
      </c>
      <c r="C339" s="12" t="s">
        <v>68</v>
      </c>
      <c r="D339" s="180" t="s">
        <v>69</v>
      </c>
      <c r="E339" s="112" t="s">
        <v>8</v>
      </c>
      <c r="F339" s="20">
        <f>21.2*2.8-F341</f>
        <v>52.879999999999995</v>
      </c>
      <c r="G339" s="21" t="s">
        <v>289</v>
      </c>
      <c r="H339" s="13" t="s">
        <v>196</v>
      </c>
      <c r="I339" s="35"/>
      <c r="J339" s="34"/>
      <c r="K339" s="34"/>
      <c r="L339" s="32"/>
      <c r="M339" s="32"/>
    </row>
    <row r="340" spans="1:13" ht="60" x14ac:dyDescent="0.25">
      <c r="A340" s="164">
        <v>321</v>
      </c>
      <c r="B340" s="207"/>
      <c r="C340" s="12" t="s">
        <v>70</v>
      </c>
      <c r="D340" s="180" t="s">
        <v>71</v>
      </c>
      <c r="E340" s="112" t="s">
        <v>8</v>
      </c>
      <c r="F340" s="20">
        <f>F339</f>
        <v>52.879999999999995</v>
      </c>
      <c r="G340" s="21" t="str">
        <f>G339</f>
        <v>21,2*2,8-(2*1,2*2+0,8*2,1)</v>
      </c>
      <c r="H340" s="13" t="s">
        <v>196</v>
      </c>
      <c r="I340" s="35"/>
      <c r="J340" s="34"/>
      <c r="K340" s="34"/>
      <c r="L340" s="32"/>
      <c r="M340" s="32"/>
    </row>
    <row r="341" spans="1:13" ht="75" x14ac:dyDescent="0.25">
      <c r="A341" s="164">
        <v>322</v>
      </c>
      <c r="B341" s="207"/>
      <c r="C341" s="12" t="s">
        <v>72</v>
      </c>
      <c r="D341" s="163" t="s">
        <v>73</v>
      </c>
      <c r="E341" s="112" t="s">
        <v>8</v>
      </c>
      <c r="F341" s="20">
        <f>2*1.2*2+0.8*2.1</f>
        <v>6.48</v>
      </c>
      <c r="G341" s="21" t="s">
        <v>287</v>
      </c>
      <c r="H341" s="13" t="s">
        <v>196</v>
      </c>
      <c r="I341" s="35"/>
      <c r="J341" s="34"/>
      <c r="K341" s="34"/>
      <c r="L341" s="32"/>
      <c r="M341" s="32"/>
    </row>
    <row r="342" spans="1:13" ht="60" x14ac:dyDescent="0.25">
      <c r="A342" s="164">
        <v>323</v>
      </c>
      <c r="B342" s="207"/>
      <c r="C342" s="160" t="s">
        <v>74</v>
      </c>
      <c r="D342" s="163" t="s">
        <v>75</v>
      </c>
      <c r="E342" s="112" t="s">
        <v>8</v>
      </c>
      <c r="F342" s="20">
        <f>28</f>
        <v>28</v>
      </c>
      <c r="G342" s="21">
        <f>28</f>
        <v>28</v>
      </c>
      <c r="H342" s="13" t="s">
        <v>196</v>
      </c>
      <c r="I342" s="35"/>
      <c r="J342" s="34"/>
      <c r="K342" s="34"/>
      <c r="L342" s="32"/>
      <c r="M342" s="32"/>
    </row>
    <row r="343" spans="1:13" ht="60" x14ac:dyDescent="0.25">
      <c r="A343" s="164">
        <v>324</v>
      </c>
      <c r="B343" s="207"/>
      <c r="C343" s="113" t="s">
        <v>76</v>
      </c>
      <c r="D343" s="179" t="s">
        <v>77</v>
      </c>
      <c r="E343" s="112" t="s">
        <v>8</v>
      </c>
      <c r="F343" s="20">
        <v>28</v>
      </c>
      <c r="G343" s="21">
        <v>28</v>
      </c>
      <c r="H343" s="13" t="s">
        <v>196</v>
      </c>
      <c r="I343" s="35"/>
      <c r="J343" s="34"/>
      <c r="K343" s="34"/>
      <c r="L343" s="32"/>
      <c r="M343" s="32"/>
    </row>
    <row r="344" spans="1:13" ht="45" x14ac:dyDescent="0.25">
      <c r="A344" s="164">
        <v>325</v>
      </c>
      <c r="B344" s="207" t="s">
        <v>103</v>
      </c>
      <c r="C344" s="12" t="s">
        <v>68</v>
      </c>
      <c r="D344" s="180" t="s">
        <v>69</v>
      </c>
      <c r="E344" s="112" t="s">
        <v>8</v>
      </c>
      <c r="F344" s="20">
        <f>20*2.8-F346</f>
        <v>49.519999999999996</v>
      </c>
      <c r="G344" s="21" t="s">
        <v>290</v>
      </c>
      <c r="H344" s="13" t="s">
        <v>196</v>
      </c>
      <c r="I344" s="35"/>
      <c r="J344" s="34"/>
      <c r="K344" s="34"/>
      <c r="L344" s="32"/>
      <c r="M344" s="32"/>
    </row>
    <row r="345" spans="1:13" ht="60" x14ac:dyDescent="0.25">
      <c r="A345" s="164">
        <v>326</v>
      </c>
      <c r="B345" s="207"/>
      <c r="C345" s="12" t="s">
        <v>70</v>
      </c>
      <c r="D345" s="180" t="s">
        <v>71</v>
      </c>
      <c r="E345" s="112" t="s">
        <v>8</v>
      </c>
      <c r="F345" s="20">
        <f>F344</f>
        <v>49.519999999999996</v>
      </c>
      <c r="G345" s="21" t="str">
        <f>G344</f>
        <v>20*2,8-(2*1,2*2+0,8*2,1)</v>
      </c>
      <c r="H345" s="13" t="s">
        <v>196</v>
      </c>
      <c r="I345" s="35"/>
      <c r="J345" s="34"/>
      <c r="K345" s="34"/>
      <c r="L345" s="32"/>
      <c r="M345" s="32"/>
    </row>
    <row r="346" spans="1:13" ht="75" x14ac:dyDescent="0.25">
      <c r="A346" s="164">
        <v>327</v>
      </c>
      <c r="B346" s="207"/>
      <c r="C346" s="12" t="s">
        <v>72</v>
      </c>
      <c r="D346" s="163" t="s">
        <v>73</v>
      </c>
      <c r="E346" s="112" t="s">
        <v>8</v>
      </c>
      <c r="F346" s="20">
        <f>2*1.2*2+0.8*2.1</f>
        <v>6.48</v>
      </c>
      <c r="G346" s="21" t="s">
        <v>287</v>
      </c>
      <c r="H346" s="13" t="s">
        <v>196</v>
      </c>
      <c r="I346" s="35"/>
      <c r="J346" s="34"/>
      <c r="K346" s="34"/>
      <c r="L346" s="32"/>
      <c r="M346" s="32"/>
    </row>
    <row r="347" spans="1:13" ht="60" x14ac:dyDescent="0.25">
      <c r="A347" s="164">
        <v>328</v>
      </c>
      <c r="B347" s="207"/>
      <c r="C347" s="160" t="s">
        <v>74</v>
      </c>
      <c r="D347" s="163" t="s">
        <v>75</v>
      </c>
      <c r="E347" s="112" t="s">
        <v>8</v>
      </c>
      <c r="F347" s="20">
        <v>30</v>
      </c>
      <c r="G347" s="21">
        <v>30</v>
      </c>
      <c r="H347" s="13" t="s">
        <v>196</v>
      </c>
      <c r="I347" s="35"/>
      <c r="J347" s="34"/>
      <c r="K347" s="34"/>
      <c r="L347" s="32"/>
      <c r="M347" s="32"/>
    </row>
    <row r="348" spans="1:13" ht="60" x14ac:dyDescent="0.25">
      <c r="A348" s="164">
        <v>329</v>
      </c>
      <c r="B348" s="207"/>
      <c r="C348" s="113" t="s">
        <v>76</v>
      </c>
      <c r="D348" s="179" t="s">
        <v>77</v>
      </c>
      <c r="E348" s="112" t="s">
        <v>8</v>
      </c>
      <c r="F348" s="20">
        <v>30</v>
      </c>
      <c r="G348" s="21">
        <v>30</v>
      </c>
      <c r="H348" s="13" t="s">
        <v>196</v>
      </c>
      <c r="I348" s="35"/>
      <c r="J348" s="34"/>
      <c r="K348" s="34"/>
      <c r="L348" s="32"/>
      <c r="M348" s="32"/>
    </row>
    <row r="349" spans="1:13" ht="45" x14ac:dyDescent="0.25">
      <c r="A349" s="164">
        <v>330</v>
      </c>
      <c r="B349" s="207" t="s">
        <v>116</v>
      </c>
      <c r="C349" s="12" t="s">
        <v>68</v>
      </c>
      <c r="D349" s="180" t="s">
        <v>69</v>
      </c>
      <c r="E349" s="112" t="s">
        <v>8</v>
      </c>
      <c r="F349" s="20">
        <f>15*2.8-F351</f>
        <v>40.32</v>
      </c>
      <c r="G349" s="21" t="s">
        <v>291</v>
      </c>
      <c r="H349" s="13" t="s">
        <v>196</v>
      </c>
      <c r="I349" s="35"/>
      <c r="J349" s="34"/>
      <c r="K349" s="34"/>
      <c r="L349" s="32"/>
      <c r="M349" s="32"/>
    </row>
    <row r="350" spans="1:13" ht="60" x14ac:dyDescent="0.25">
      <c r="A350" s="164">
        <v>331</v>
      </c>
      <c r="B350" s="207"/>
      <c r="C350" s="12" t="s">
        <v>70</v>
      </c>
      <c r="D350" s="180" t="s">
        <v>71</v>
      </c>
      <c r="E350" s="112" t="s">
        <v>8</v>
      </c>
      <c r="F350" s="20">
        <f>F349</f>
        <v>40.32</v>
      </c>
      <c r="G350" s="21" t="str">
        <f>G349</f>
        <v>15*2,8-0,8*2,1</v>
      </c>
      <c r="H350" s="13" t="s">
        <v>196</v>
      </c>
      <c r="I350" s="35"/>
      <c r="J350" s="34"/>
      <c r="K350" s="34"/>
      <c r="L350" s="32"/>
      <c r="M350" s="32"/>
    </row>
    <row r="351" spans="1:13" ht="75" x14ac:dyDescent="0.25">
      <c r="A351" s="164">
        <v>332</v>
      </c>
      <c r="B351" s="207"/>
      <c r="C351" s="12" t="s">
        <v>72</v>
      </c>
      <c r="D351" s="163" t="s">
        <v>73</v>
      </c>
      <c r="E351" s="112" t="s">
        <v>8</v>
      </c>
      <c r="F351" s="20">
        <f>0.8*2.1</f>
        <v>1.6800000000000002</v>
      </c>
      <c r="G351" s="21" t="s">
        <v>198</v>
      </c>
      <c r="H351" s="13" t="s">
        <v>196</v>
      </c>
      <c r="I351" s="35"/>
      <c r="J351" s="34"/>
      <c r="K351" s="34"/>
      <c r="L351" s="32"/>
      <c r="M351" s="32"/>
    </row>
    <row r="352" spans="1:13" ht="60" x14ac:dyDescent="0.25">
      <c r="A352" s="164">
        <v>333</v>
      </c>
      <c r="B352" s="207"/>
      <c r="C352" s="160" t="s">
        <v>74</v>
      </c>
      <c r="D352" s="163" t="s">
        <v>75</v>
      </c>
      <c r="E352" s="112" t="s">
        <v>8</v>
      </c>
      <c r="F352" s="20">
        <v>13.5</v>
      </c>
      <c r="G352" s="21">
        <v>13.5</v>
      </c>
      <c r="H352" s="13" t="s">
        <v>196</v>
      </c>
      <c r="I352" s="35"/>
      <c r="J352" s="34"/>
      <c r="K352" s="34"/>
      <c r="L352" s="32"/>
      <c r="M352" s="32"/>
    </row>
    <row r="353" spans="1:13" ht="60" x14ac:dyDescent="0.25">
      <c r="A353" s="164">
        <v>334</v>
      </c>
      <c r="B353" s="207"/>
      <c r="C353" s="113" t="s">
        <v>76</v>
      </c>
      <c r="D353" s="179" t="s">
        <v>77</v>
      </c>
      <c r="E353" s="112" t="s">
        <v>8</v>
      </c>
      <c r="F353" s="20">
        <v>13.5</v>
      </c>
      <c r="G353" s="21">
        <v>13.5</v>
      </c>
      <c r="H353" s="13" t="s">
        <v>196</v>
      </c>
      <c r="I353" s="35"/>
      <c r="J353" s="34"/>
      <c r="K353" s="34"/>
      <c r="L353" s="32"/>
      <c r="M353" s="32"/>
    </row>
    <row r="354" spans="1:13" ht="45" x14ac:dyDescent="0.25">
      <c r="A354" s="164">
        <v>335</v>
      </c>
      <c r="B354" s="207" t="s">
        <v>117</v>
      </c>
      <c r="C354" s="12" t="s">
        <v>68</v>
      </c>
      <c r="D354" s="180" t="s">
        <v>69</v>
      </c>
      <c r="E354" s="112" t="s">
        <v>8</v>
      </c>
      <c r="F354" s="20">
        <f>23*2.8-F356</f>
        <v>60.319999999999993</v>
      </c>
      <c r="G354" s="21" t="s">
        <v>292</v>
      </c>
      <c r="H354" s="13" t="s">
        <v>196</v>
      </c>
      <c r="I354" s="35"/>
      <c r="J354" s="34"/>
      <c r="K354" s="34"/>
      <c r="L354" s="32"/>
      <c r="M354" s="32"/>
    </row>
    <row r="355" spans="1:13" ht="60" x14ac:dyDescent="0.25">
      <c r="A355" s="164">
        <v>336</v>
      </c>
      <c r="B355" s="207"/>
      <c r="C355" s="12" t="s">
        <v>70</v>
      </c>
      <c r="D355" s="180" t="s">
        <v>71</v>
      </c>
      <c r="E355" s="112" t="s">
        <v>8</v>
      </c>
      <c r="F355" s="20">
        <f>F354</f>
        <v>60.319999999999993</v>
      </c>
      <c r="G355" s="21" t="str">
        <f>G354</f>
        <v>23*2,8-(1,2*2+0,8*2,1)</v>
      </c>
      <c r="H355" s="13" t="s">
        <v>196</v>
      </c>
      <c r="I355" s="35"/>
      <c r="J355" s="34"/>
      <c r="K355" s="34"/>
      <c r="L355" s="32"/>
      <c r="M355" s="32"/>
    </row>
    <row r="356" spans="1:13" ht="75" x14ac:dyDescent="0.25">
      <c r="A356" s="164">
        <v>337</v>
      </c>
      <c r="B356" s="207"/>
      <c r="C356" s="12" t="s">
        <v>72</v>
      </c>
      <c r="D356" s="163" t="s">
        <v>73</v>
      </c>
      <c r="E356" s="112" t="s">
        <v>8</v>
      </c>
      <c r="F356" s="20">
        <f>1.2*2+0.8*2.1</f>
        <v>4.08</v>
      </c>
      <c r="G356" s="21" t="s">
        <v>293</v>
      </c>
      <c r="H356" s="13" t="s">
        <v>196</v>
      </c>
      <c r="I356" s="35"/>
      <c r="J356" s="34"/>
      <c r="K356" s="34"/>
      <c r="L356" s="32"/>
      <c r="M356" s="32"/>
    </row>
    <row r="357" spans="1:13" ht="60" x14ac:dyDescent="0.25">
      <c r="A357" s="164">
        <v>338</v>
      </c>
      <c r="B357" s="207"/>
      <c r="C357" s="160" t="s">
        <v>74</v>
      </c>
      <c r="D357" s="163" t="s">
        <v>75</v>
      </c>
      <c r="E357" s="112" t="s">
        <v>8</v>
      </c>
      <c r="F357" s="20">
        <v>31.55</v>
      </c>
      <c r="G357" s="21">
        <v>31.55</v>
      </c>
      <c r="H357" s="13" t="s">
        <v>196</v>
      </c>
      <c r="I357" s="35"/>
      <c r="J357" s="34"/>
      <c r="K357" s="34"/>
      <c r="L357" s="32"/>
      <c r="M357" s="32"/>
    </row>
    <row r="358" spans="1:13" ht="60" x14ac:dyDescent="0.25">
      <c r="A358" s="164">
        <v>339</v>
      </c>
      <c r="B358" s="207"/>
      <c r="C358" s="113" t="s">
        <v>76</v>
      </c>
      <c r="D358" s="179" t="s">
        <v>77</v>
      </c>
      <c r="E358" s="112" t="s">
        <v>8</v>
      </c>
      <c r="F358" s="20">
        <v>31.55</v>
      </c>
      <c r="G358" s="21">
        <v>31.55</v>
      </c>
      <c r="H358" s="13" t="s">
        <v>196</v>
      </c>
      <c r="I358" s="35"/>
      <c r="J358" s="34"/>
      <c r="K358" s="34"/>
      <c r="L358" s="32"/>
      <c r="M358" s="32"/>
    </row>
    <row r="359" spans="1:13" ht="45" x14ac:dyDescent="0.25">
      <c r="A359" s="164">
        <v>340</v>
      </c>
      <c r="B359" s="207" t="s">
        <v>118</v>
      </c>
      <c r="C359" s="12" t="s">
        <v>68</v>
      </c>
      <c r="D359" s="180" t="s">
        <v>69</v>
      </c>
      <c r="E359" s="112" t="s">
        <v>8</v>
      </c>
      <c r="F359" s="20">
        <f>20*2.8-F361</f>
        <v>51.92</v>
      </c>
      <c r="G359" s="21" t="s">
        <v>294</v>
      </c>
      <c r="H359" s="13" t="s">
        <v>196</v>
      </c>
      <c r="I359" s="35"/>
      <c r="J359" s="34"/>
      <c r="K359" s="34"/>
      <c r="L359" s="32"/>
      <c r="M359" s="32"/>
    </row>
    <row r="360" spans="1:13" ht="60" x14ac:dyDescent="0.25">
      <c r="A360" s="164">
        <v>341</v>
      </c>
      <c r="B360" s="207"/>
      <c r="C360" s="12" t="s">
        <v>70</v>
      </c>
      <c r="D360" s="180" t="s">
        <v>71</v>
      </c>
      <c r="E360" s="112" t="s">
        <v>8</v>
      </c>
      <c r="F360" s="20">
        <f>F359</f>
        <v>51.92</v>
      </c>
      <c r="G360" s="21" t="str">
        <f>G359</f>
        <v>20*2,8-(1,2*2+0,8*2,1)</v>
      </c>
      <c r="H360" s="13" t="s">
        <v>196</v>
      </c>
      <c r="I360" s="35"/>
      <c r="J360" s="34"/>
      <c r="K360" s="34"/>
      <c r="L360" s="32"/>
      <c r="M360" s="32"/>
    </row>
    <row r="361" spans="1:13" ht="75" x14ac:dyDescent="0.25">
      <c r="A361" s="164">
        <v>342</v>
      </c>
      <c r="B361" s="207"/>
      <c r="C361" s="12" t="s">
        <v>72</v>
      </c>
      <c r="D361" s="163" t="s">
        <v>73</v>
      </c>
      <c r="E361" s="112" t="s">
        <v>8</v>
      </c>
      <c r="F361" s="20">
        <f>1.2*2+0.8*2.1</f>
        <v>4.08</v>
      </c>
      <c r="G361" s="21" t="s">
        <v>293</v>
      </c>
      <c r="H361" s="13" t="s">
        <v>196</v>
      </c>
      <c r="I361" s="35"/>
      <c r="J361" s="34"/>
      <c r="K361" s="34"/>
      <c r="L361" s="32"/>
      <c r="M361" s="32"/>
    </row>
    <row r="362" spans="1:13" ht="60" x14ac:dyDescent="0.25">
      <c r="A362" s="164">
        <v>343</v>
      </c>
      <c r="B362" s="207"/>
      <c r="C362" s="160" t="s">
        <v>74</v>
      </c>
      <c r="D362" s="163" t="s">
        <v>75</v>
      </c>
      <c r="E362" s="112" t="s">
        <v>8</v>
      </c>
      <c r="F362" s="20">
        <v>25</v>
      </c>
      <c r="G362" s="21">
        <v>25</v>
      </c>
      <c r="H362" s="13" t="s">
        <v>196</v>
      </c>
      <c r="I362" s="35"/>
      <c r="J362" s="34"/>
      <c r="K362" s="34"/>
      <c r="L362" s="32"/>
      <c r="M362" s="32"/>
    </row>
    <row r="363" spans="1:13" ht="60" x14ac:dyDescent="0.25">
      <c r="A363" s="164">
        <v>344</v>
      </c>
      <c r="B363" s="207"/>
      <c r="C363" s="113" t="s">
        <v>76</v>
      </c>
      <c r="D363" s="179" t="s">
        <v>77</v>
      </c>
      <c r="E363" s="112" t="s">
        <v>8</v>
      </c>
      <c r="F363" s="20">
        <v>25</v>
      </c>
      <c r="G363" s="21">
        <v>25</v>
      </c>
      <c r="H363" s="13" t="s">
        <v>196</v>
      </c>
      <c r="I363" s="35"/>
      <c r="J363" s="34"/>
      <c r="K363" s="34"/>
      <c r="L363" s="32"/>
      <c r="M363" s="32"/>
    </row>
    <row r="364" spans="1:13" ht="45" x14ac:dyDescent="0.25">
      <c r="A364" s="164">
        <v>345</v>
      </c>
      <c r="B364" s="207" t="s">
        <v>126</v>
      </c>
      <c r="C364" s="12" t="s">
        <v>68</v>
      </c>
      <c r="D364" s="180" t="s">
        <v>69</v>
      </c>
      <c r="E364" s="112" t="s">
        <v>8</v>
      </c>
      <c r="F364" s="20">
        <f>21.4*2.8-F366</f>
        <v>53.44</v>
      </c>
      <c r="G364" s="21" t="s">
        <v>295</v>
      </c>
      <c r="H364" s="13" t="s">
        <v>196</v>
      </c>
      <c r="I364" s="35"/>
      <c r="J364" s="34"/>
      <c r="K364" s="34"/>
      <c r="L364" s="32"/>
      <c r="M364" s="32"/>
    </row>
    <row r="365" spans="1:13" ht="60" x14ac:dyDescent="0.25">
      <c r="A365" s="164">
        <v>346</v>
      </c>
      <c r="B365" s="207"/>
      <c r="C365" s="12" t="s">
        <v>70</v>
      </c>
      <c r="D365" s="180" t="s">
        <v>71</v>
      </c>
      <c r="E365" s="112" t="s">
        <v>8</v>
      </c>
      <c r="F365" s="20">
        <f>F364</f>
        <v>53.44</v>
      </c>
      <c r="G365" s="21" t="str">
        <f>G364</f>
        <v>21,4*2,8-(2*1,2*2+0,8*2,1)</v>
      </c>
      <c r="H365" s="13" t="s">
        <v>196</v>
      </c>
      <c r="I365" s="35"/>
      <c r="J365" s="34"/>
      <c r="K365" s="34"/>
      <c r="L365" s="32"/>
      <c r="M365" s="32"/>
    </row>
    <row r="366" spans="1:13" ht="75" x14ac:dyDescent="0.25">
      <c r="A366" s="164">
        <v>347</v>
      </c>
      <c r="B366" s="207"/>
      <c r="C366" s="12" t="s">
        <v>72</v>
      </c>
      <c r="D366" s="163" t="s">
        <v>73</v>
      </c>
      <c r="E366" s="112" t="s">
        <v>8</v>
      </c>
      <c r="F366" s="20">
        <f>2*1.2*2+0.8*2.1</f>
        <v>6.48</v>
      </c>
      <c r="G366" s="21" t="s">
        <v>287</v>
      </c>
      <c r="H366" s="13" t="s">
        <v>196</v>
      </c>
      <c r="I366" s="35"/>
      <c r="J366" s="34"/>
      <c r="K366" s="34"/>
      <c r="L366" s="32"/>
      <c r="M366" s="32"/>
    </row>
    <row r="367" spans="1:13" ht="60" x14ac:dyDescent="0.25">
      <c r="A367" s="164">
        <v>348</v>
      </c>
      <c r="B367" s="207"/>
      <c r="C367" s="160" t="s">
        <v>74</v>
      </c>
      <c r="D367" s="163" t="s">
        <v>75</v>
      </c>
      <c r="E367" s="112" t="s">
        <v>8</v>
      </c>
      <c r="F367" s="20">
        <v>28.5</v>
      </c>
      <c r="G367" s="21">
        <v>28.5</v>
      </c>
      <c r="H367" s="13" t="s">
        <v>196</v>
      </c>
      <c r="I367" s="35"/>
      <c r="J367" s="34"/>
      <c r="K367" s="34"/>
      <c r="L367" s="32"/>
      <c r="M367" s="32"/>
    </row>
    <row r="368" spans="1:13" ht="60" x14ac:dyDescent="0.25">
      <c r="A368" s="164">
        <v>349</v>
      </c>
      <c r="B368" s="207"/>
      <c r="C368" s="113" t="s">
        <v>76</v>
      </c>
      <c r="D368" s="179" t="s">
        <v>77</v>
      </c>
      <c r="E368" s="112" t="s">
        <v>8</v>
      </c>
      <c r="F368" s="20">
        <v>28.5</v>
      </c>
      <c r="G368" s="21">
        <v>28.5</v>
      </c>
      <c r="H368" s="13" t="s">
        <v>196</v>
      </c>
      <c r="I368" s="35"/>
      <c r="J368" s="34"/>
      <c r="K368" s="34"/>
      <c r="L368" s="32"/>
      <c r="M368" s="32"/>
    </row>
    <row r="369" spans="1:13" ht="45" x14ac:dyDescent="0.25">
      <c r="A369" s="164">
        <v>350</v>
      </c>
      <c r="B369" s="207" t="s">
        <v>127</v>
      </c>
      <c r="C369" s="12" t="s">
        <v>68</v>
      </c>
      <c r="D369" s="180" t="s">
        <v>69</v>
      </c>
      <c r="E369" s="112" t="s">
        <v>8</v>
      </c>
      <c r="F369" s="20">
        <f>23.2*2.8-F371</f>
        <v>58.47999999999999</v>
      </c>
      <c r="G369" s="21" t="s">
        <v>296</v>
      </c>
      <c r="H369" s="13" t="s">
        <v>196</v>
      </c>
      <c r="I369" s="35"/>
      <c r="J369" s="34"/>
      <c r="K369" s="34"/>
      <c r="L369" s="32"/>
      <c r="M369" s="32"/>
    </row>
    <row r="370" spans="1:13" ht="60" x14ac:dyDescent="0.25">
      <c r="A370" s="164">
        <v>351</v>
      </c>
      <c r="B370" s="207"/>
      <c r="C370" s="12" t="s">
        <v>70</v>
      </c>
      <c r="D370" s="180" t="s">
        <v>71</v>
      </c>
      <c r="E370" s="112" t="s">
        <v>8</v>
      </c>
      <c r="F370" s="20">
        <f>F369</f>
        <v>58.47999999999999</v>
      </c>
      <c r="G370" s="21" t="str">
        <f>G369</f>
        <v>23,2*2,8-(2*1,2*2+0,8*2,1)</v>
      </c>
      <c r="H370" s="13" t="s">
        <v>196</v>
      </c>
      <c r="I370" s="35"/>
      <c r="J370" s="34"/>
      <c r="K370" s="34"/>
      <c r="L370" s="32"/>
      <c r="M370" s="32"/>
    </row>
    <row r="371" spans="1:13" ht="75" x14ac:dyDescent="0.25">
      <c r="A371" s="164">
        <v>352</v>
      </c>
      <c r="B371" s="207"/>
      <c r="C371" s="12" t="s">
        <v>72</v>
      </c>
      <c r="D371" s="163" t="s">
        <v>73</v>
      </c>
      <c r="E371" s="112" t="s">
        <v>8</v>
      </c>
      <c r="F371" s="20">
        <f>2*1.2*2+0.8*2.1</f>
        <v>6.48</v>
      </c>
      <c r="G371" s="21" t="s">
        <v>287</v>
      </c>
      <c r="H371" s="13" t="s">
        <v>196</v>
      </c>
      <c r="I371" s="35"/>
      <c r="J371" s="34"/>
      <c r="K371" s="34"/>
      <c r="L371" s="32"/>
      <c r="M371" s="32"/>
    </row>
    <row r="372" spans="1:13" ht="60" x14ac:dyDescent="0.25">
      <c r="A372" s="164">
        <v>353</v>
      </c>
      <c r="B372" s="207"/>
      <c r="C372" s="160" t="s">
        <v>74</v>
      </c>
      <c r="D372" s="163" t="s">
        <v>75</v>
      </c>
      <c r="E372" s="112" t="s">
        <v>8</v>
      </c>
      <c r="F372" s="20">
        <v>33</v>
      </c>
      <c r="G372" s="21">
        <v>33</v>
      </c>
      <c r="H372" s="13" t="s">
        <v>196</v>
      </c>
      <c r="I372" s="35"/>
      <c r="J372" s="34"/>
      <c r="K372" s="34"/>
      <c r="L372" s="32"/>
      <c r="M372" s="32"/>
    </row>
    <row r="373" spans="1:13" ht="60" x14ac:dyDescent="0.25">
      <c r="A373" s="164">
        <v>354</v>
      </c>
      <c r="B373" s="207"/>
      <c r="C373" s="113" t="s">
        <v>76</v>
      </c>
      <c r="D373" s="179" t="s">
        <v>77</v>
      </c>
      <c r="E373" s="112" t="s">
        <v>8</v>
      </c>
      <c r="F373" s="20">
        <v>33</v>
      </c>
      <c r="G373" s="21">
        <v>33</v>
      </c>
      <c r="H373" s="13" t="s">
        <v>196</v>
      </c>
      <c r="I373" s="35"/>
      <c r="J373" s="34"/>
      <c r="K373" s="34"/>
      <c r="L373" s="32"/>
      <c r="M373" s="32"/>
    </row>
    <row r="374" spans="1:13" ht="45" x14ac:dyDescent="0.25">
      <c r="A374" s="164">
        <v>355</v>
      </c>
      <c r="B374" s="207" t="s">
        <v>128</v>
      </c>
      <c r="C374" s="12" t="s">
        <v>68</v>
      </c>
      <c r="D374" s="180" t="s">
        <v>69</v>
      </c>
      <c r="E374" s="112" t="s">
        <v>8</v>
      </c>
      <c r="F374" s="20">
        <f>15.4*2.8-F376</f>
        <v>41.44</v>
      </c>
      <c r="G374" s="21" t="s">
        <v>297</v>
      </c>
      <c r="H374" s="13" t="s">
        <v>196</v>
      </c>
      <c r="I374" s="35"/>
      <c r="J374" s="34"/>
      <c r="K374" s="34"/>
      <c r="L374" s="32"/>
      <c r="M374" s="32"/>
    </row>
    <row r="375" spans="1:13" ht="60" x14ac:dyDescent="0.25">
      <c r="A375" s="164">
        <v>356</v>
      </c>
      <c r="B375" s="207"/>
      <c r="C375" s="12" t="s">
        <v>70</v>
      </c>
      <c r="D375" s="180" t="s">
        <v>71</v>
      </c>
      <c r="E375" s="112" t="s">
        <v>8</v>
      </c>
      <c r="F375" s="20">
        <f>F374</f>
        <v>41.44</v>
      </c>
      <c r="G375" s="21" t="str">
        <f>G374</f>
        <v>15,4*2,8-(0,8*2,1)</v>
      </c>
      <c r="H375" s="13" t="s">
        <v>196</v>
      </c>
      <c r="I375" s="35"/>
      <c r="J375" s="34"/>
      <c r="K375" s="34"/>
      <c r="L375" s="32"/>
      <c r="M375" s="32"/>
    </row>
    <row r="376" spans="1:13" ht="75" x14ac:dyDescent="0.25">
      <c r="A376" s="164">
        <v>357</v>
      </c>
      <c r="B376" s="207"/>
      <c r="C376" s="12" t="s">
        <v>72</v>
      </c>
      <c r="D376" s="163" t="s">
        <v>73</v>
      </c>
      <c r="E376" s="112" t="s">
        <v>8</v>
      </c>
      <c r="F376" s="20">
        <f>0.8*2.1</f>
        <v>1.6800000000000002</v>
      </c>
      <c r="G376" s="21" t="s">
        <v>198</v>
      </c>
      <c r="H376" s="13" t="s">
        <v>196</v>
      </c>
      <c r="I376" s="35"/>
      <c r="J376" s="34"/>
      <c r="K376" s="34"/>
      <c r="L376" s="32"/>
      <c r="M376" s="32"/>
    </row>
    <row r="377" spans="1:13" ht="60" x14ac:dyDescent="0.25">
      <c r="A377" s="164">
        <v>358</v>
      </c>
      <c r="B377" s="207"/>
      <c r="C377" s="160" t="s">
        <v>74</v>
      </c>
      <c r="D377" s="163" t="s">
        <v>75</v>
      </c>
      <c r="E377" s="112" t="s">
        <v>8</v>
      </c>
      <c r="F377" s="20">
        <v>12.86</v>
      </c>
      <c r="G377" s="21">
        <v>12.86</v>
      </c>
      <c r="H377" s="13" t="s">
        <v>196</v>
      </c>
      <c r="I377" s="35"/>
      <c r="J377" s="34"/>
      <c r="K377" s="34"/>
      <c r="L377" s="32"/>
      <c r="M377" s="32"/>
    </row>
    <row r="378" spans="1:13" ht="60" x14ac:dyDescent="0.25">
      <c r="A378" s="164">
        <v>359</v>
      </c>
      <c r="B378" s="207"/>
      <c r="C378" s="113" t="s">
        <v>76</v>
      </c>
      <c r="D378" s="179" t="s">
        <v>77</v>
      </c>
      <c r="E378" s="112" t="s">
        <v>8</v>
      </c>
      <c r="F378" s="20">
        <v>12.86</v>
      </c>
      <c r="G378" s="21">
        <v>12.86</v>
      </c>
      <c r="H378" s="13" t="s">
        <v>196</v>
      </c>
      <c r="I378" s="35"/>
      <c r="J378" s="34"/>
      <c r="K378" s="34"/>
      <c r="L378" s="32"/>
      <c r="M378" s="32"/>
    </row>
    <row r="379" spans="1:13" ht="45" x14ac:dyDescent="0.25">
      <c r="A379" s="164">
        <v>360</v>
      </c>
      <c r="B379" s="207" t="s">
        <v>129</v>
      </c>
      <c r="C379" s="12" t="s">
        <v>68</v>
      </c>
      <c r="D379" s="180" t="s">
        <v>69</v>
      </c>
      <c r="E379" s="112" t="s">
        <v>8</v>
      </c>
      <c r="F379" s="20">
        <f>10.6*2.8-F381</f>
        <v>27.999999999999996</v>
      </c>
      <c r="G379" s="21" t="s">
        <v>298</v>
      </c>
      <c r="H379" s="13" t="s">
        <v>196</v>
      </c>
      <c r="I379" s="35"/>
      <c r="J379" s="34"/>
      <c r="K379" s="34"/>
      <c r="L379" s="32"/>
      <c r="M379" s="32"/>
    </row>
    <row r="380" spans="1:13" ht="60" x14ac:dyDescent="0.25">
      <c r="A380" s="164">
        <v>361</v>
      </c>
      <c r="B380" s="207"/>
      <c r="C380" s="12" t="s">
        <v>70</v>
      </c>
      <c r="D380" s="180" t="s">
        <v>71</v>
      </c>
      <c r="E380" s="112" t="s">
        <v>8</v>
      </c>
      <c r="F380" s="20">
        <f>F379</f>
        <v>27.999999999999996</v>
      </c>
      <c r="G380" s="21" t="str">
        <f>G379</f>
        <v>10,6*2,8-0,8*2,1</v>
      </c>
      <c r="H380" s="13" t="s">
        <v>196</v>
      </c>
      <c r="I380" s="35"/>
      <c r="J380" s="34"/>
      <c r="K380" s="34"/>
      <c r="L380" s="32"/>
      <c r="M380" s="32"/>
    </row>
    <row r="381" spans="1:13" ht="75" x14ac:dyDescent="0.25">
      <c r="A381" s="164">
        <v>362</v>
      </c>
      <c r="B381" s="207"/>
      <c r="C381" s="12" t="s">
        <v>72</v>
      </c>
      <c r="D381" s="163" t="s">
        <v>73</v>
      </c>
      <c r="E381" s="112" t="s">
        <v>8</v>
      </c>
      <c r="F381" s="20">
        <f>0.8*2.1</f>
        <v>1.6800000000000002</v>
      </c>
      <c r="G381" s="21" t="s">
        <v>198</v>
      </c>
      <c r="H381" s="13" t="s">
        <v>196</v>
      </c>
      <c r="I381" s="35"/>
      <c r="J381" s="34"/>
      <c r="K381" s="34"/>
      <c r="L381" s="32"/>
      <c r="M381" s="32"/>
    </row>
    <row r="382" spans="1:13" ht="60" x14ac:dyDescent="0.25">
      <c r="A382" s="164">
        <v>363</v>
      </c>
      <c r="B382" s="207"/>
      <c r="C382" s="160" t="s">
        <v>74</v>
      </c>
      <c r="D382" s="163" t="s">
        <v>75</v>
      </c>
      <c r="E382" s="112" t="s">
        <v>8</v>
      </c>
      <c r="F382" s="20">
        <v>6.77</v>
      </c>
      <c r="G382" s="21">
        <v>6.77</v>
      </c>
      <c r="H382" s="13" t="s">
        <v>196</v>
      </c>
      <c r="I382" s="35"/>
      <c r="J382" s="34"/>
      <c r="K382" s="34"/>
      <c r="L382" s="32"/>
      <c r="M382" s="32"/>
    </row>
    <row r="383" spans="1:13" ht="60" x14ac:dyDescent="0.25">
      <c r="A383" s="164">
        <v>364</v>
      </c>
      <c r="B383" s="207"/>
      <c r="C383" s="113" t="s">
        <v>76</v>
      </c>
      <c r="D383" s="179" t="s">
        <v>77</v>
      </c>
      <c r="E383" s="112" t="s">
        <v>8</v>
      </c>
      <c r="F383" s="20">
        <v>6.77</v>
      </c>
      <c r="G383" s="21">
        <v>6.77</v>
      </c>
      <c r="H383" s="13" t="s">
        <v>196</v>
      </c>
      <c r="I383" s="35"/>
      <c r="J383" s="34"/>
      <c r="K383" s="34"/>
      <c r="L383" s="32"/>
      <c r="M383" s="32"/>
    </row>
    <row r="384" spans="1:13" ht="75" x14ac:dyDescent="0.25">
      <c r="A384" s="164">
        <v>365</v>
      </c>
      <c r="B384" s="207" t="s">
        <v>119</v>
      </c>
      <c r="C384" s="12" t="s">
        <v>72</v>
      </c>
      <c r="D384" s="163" t="s">
        <v>73</v>
      </c>
      <c r="E384" s="112" t="s">
        <v>8</v>
      </c>
      <c r="F384" s="20">
        <f>0.6*0.4</f>
        <v>0.24</v>
      </c>
      <c r="G384" s="21" t="s">
        <v>299</v>
      </c>
      <c r="H384" s="13" t="s">
        <v>196</v>
      </c>
      <c r="I384" s="35"/>
      <c r="J384" s="34"/>
      <c r="K384" s="34"/>
      <c r="L384" s="32"/>
      <c r="M384" s="32"/>
    </row>
    <row r="385" spans="1:13" ht="60" x14ac:dyDescent="0.25">
      <c r="A385" s="164">
        <v>366</v>
      </c>
      <c r="B385" s="207"/>
      <c r="C385" s="160" t="s">
        <v>74</v>
      </c>
      <c r="D385" s="163" t="s">
        <v>75</v>
      </c>
      <c r="E385" s="112" t="s">
        <v>8</v>
      </c>
      <c r="F385" s="20">
        <v>2.57</v>
      </c>
      <c r="G385" s="21">
        <v>2.57</v>
      </c>
      <c r="H385" s="13" t="s">
        <v>196</v>
      </c>
      <c r="I385" s="35"/>
      <c r="J385" s="34"/>
      <c r="K385" s="34"/>
      <c r="L385" s="32"/>
      <c r="M385" s="32"/>
    </row>
    <row r="386" spans="1:13" ht="60" x14ac:dyDescent="0.25">
      <c r="A386" s="164">
        <v>367</v>
      </c>
      <c r="B386" s="207"/>
      <c r="C386" s="113" t="s">
        <v>76</v>
      </c>
      <c r="D386" s="179" t="s">
        <v>77</v>
      </c>
      <c r="E386" s="112" t="s">
        <v>8</v>
      </c>
      <c r="F386" s="20">
        <v>2.57</v>
      </c>
      <c r="G386" s="21">
        <v>2.57</v>
      </c>
      <c r="H386" s="13" t="s">
        <v>196</v>
      </c>
      <c r="I386" s="35"/>
      <c r="J386" s="34"/>
      <c r="K386" s="34"/>
      <c r="L386" s="32"/>
      <c r="M386" s="32"/>
    </row>
    <row r="387" spans="1:13" ht="75" x14ac:dyDescent="0.25">
      <c r="A387" s="164">
        <v>368</v>
      </c>
      <c r="B387" s="207" t="s">
        <v>120</v>
      </c>
      <c r="C387" s="12" t="s">
        <v>72</v>
      </c>
      <c r="D387" s="163" t="s">
        <v>73</v>
      </c>
      <c r="E387" s="112" t="s">
        <v>8</v>
      </c>
      <c r="F387" s="20">
        <f>0.8*2.1</f>
        <v>1.6800000000000002</v>
      </c>
      <c r="G387" s="21" t="s">
        <v>198</v>
      </c>
      <c r="H387" s="13" t="s">
        <v>196</v>
      </c>
      <c r="I387" s="35"/>
      <c r="J387" s="34"/>
      <c r="K387" s="34"/>
      <c r="L387" s="32"/>
      <c r="M387" s="32"/>
    </row>
    <row r="388" spans="1:13" ht="60" x14ac:dyDescent="0.25">
      <c r="A388" s="164">
        <v>369</v>
      </c>
      <c r="B388" s="207"/>
      <c r="C388" s="160" t="s">
        <v>74</v>
      </c>
      <c r="D388" s="163" t="s">
        <v>75</v>
      </c>
      <c r="E388" s="112" t="s">
        <v>8</v>
      </c>
      <c r="F388" s="20">
        <f>7.7</f>
        <v>7.7</v>
      </c>
      <c r="G388" s="21">
        <f>7.7</f>
        <v>7.7</v>
      </c>
      <c r="H388" s="13" t="s">
        <v>196</v>
      </c>
      <c r="I388" s="35"/>
      <c r="J388" s="34"/>
      <c r="K388" s="34"/>
      <c r="L388" s="32"/>
      <c r="M388" s="32"/>
    </row>
    <row r="389" spans="1:13" ht="60" x14ac:dyDescent="0.25">
      <c r="A389" s="164">
        <v>370</v>
      </c>
      <c r="B389" s="207"/>
      <c r="C389" s="113" t="s">
        <v>76</v>
      </c>
      <c r="D389" s="179" t="s">
        <v>77</v>
      </c>
      <c r="E389" s="112" t="s">
        <v>8</v>
      </c>
      <c r="F389" s="20">
        <v>7.7</v>
      </c>
      <c r="G389" s="21">
        <v>7.7</v>
      </c>
      <c r="H389" s="13" t="s">
        <v>196</v>
      </c>
      <c r="I389" s="35"/>
      <c r="J389" s="34"/>
      <c r="K389" s="34"/>
      <c r="L389" s="32"/>
      <c r="M389" s="32"/>
    </row>
    <row r="390" spans="1:13" ht="75" x14ac:dyDescent="0.25">
      <c r="A390" s="164">
        <v>371</v>
      </c>
      <c r="B390" s="207" t="s">
        <v>123</v>
      </c>
      <c r="C390" s="12" t="s">
        <v>72</v>
      </c>
      <c r="D390" s="163" t="s">
        <v>73</v>
      </c>
      <c r="E390" s="112" t="s">
        <v>8</v>
      </c>
      <c r="F390" s="20">
        <f>2*0.8*2.1+1*1</f>
        <v>4.3600000000000003</v>
      </c>
      <c r="G390" s="21" t="s">
        <v>300</v>
      </c>
      <c r="H390" s="13" t="s">
        <v>196</v>
      </c>
      <c r="I390" s="35"/>
      <c r="J390" s="34"/>
      <c r="K390" s="34"/>
      <c r="L390" s="32"/>
      <c r="M390" s="32"/>
    </row>
    <row r="391" spans="1:13" ht="60" x14ac:dyDescent="0.25">
      <c r="A391" s="164">
        <v>372</v>
      </c>
      <c r="B391" s="207"/>
      <c r="C391" s="160" t="s">
        <v>74</v>
      </c>
      <c r="D391" s="163" t="s">
        <v>75</v>
      </c>
      <c r="E391" s="112" t="s">
        <v>8</v>
      </c>
      <c r="F391" s="20">
        <v>17.21</v>
      </c>
      <c r="G391" s="21">
        <v>17.21</v>
      </c>
      <c r="H391" s="13" t="s">
        <v>196</v>
      </c>
      <c r="I391" s="35"/>
      <c r="J391" s="34"/>
      <c r="K391" s="34"/>
      <c r="L391" s="32"/>
      <c r="M391" s="32"/>
    </row>
    <row r="392" spans="1:13" ht="60" x14ac:dyDescent="0.25">
      <c r="A392" s="164">
        <v>373</v>
      </c>
      <c r="B392" s="207"/>
      <c r="C392" s="113" t="s">
        <v>76</v>
      </c>
      <c r="D392" s="179" t="s">
        <v>77</v>
      </c>
      <c r="E392" s="112" t="s">
        <v>8</v>
      </c>
      <c r="F392" s="20">
        <v>17.21</v>
      </c>
      <c r="G392" s="21">
        <v>17.21</v>
      </c>
      <c r="H392" s="13" t="s">
        <v>196</v>
      </c>
      <c r="I392" s="35"/>
      <c r="J392" s="34"/>
      <c r="K392" s="34"/>
      <c r="L392" s="32"/>
      <c r="M392" s="32"/>
    </row>
    <row r="393" spans="1:13" ht="45" x14ac:dyDescent="0.25">
      <c r="A393" s="164">
        <v>374</v>
      </c>
      <c r="B393" s="207" t="s">
        <v>121</v>
      </c>
      <c r="C393" s="12" t="s">
        <v>68</v>
      </c>
      <c r="D393" s="180" t="s">
        <v>69</v>
      </c>
      <c r="E393" s="112" t="s">
        <v>8</v>
      </c>
      <c r="F393" s="20">
        <f>11.15*2.8-F395</f>
        <v>28.099999999999998</v>
      </c>
      <c r="G393" s="21" t="s">
        <v>301</v>
      </c>
      <c r="H393" s="13" t="s">
        <v>196</v>
      </c>
      <c r="I393" s="35"/>
      <c r="J393" s="34"/>
      <c r="K393" s="34"/>
      <c r="L393" s="32"/>
      <c r="M393" s="32"/>
    </row>
    <row r="394" spans="1:13" ht="60" x14ac:dyDescent="0.25">
      <c r="A394" s="164">
        <v>375</v>
      </c>
      <c r="B394" s="207"/>
      <c r="C394" s="12" t="s">
        <v>70</v>
      </c>
      <c r="D394" s="180" t="s">
        <v>71</v>
      </c>
      <c r="E394" s="112" t="s">
        <v>8</v>
      </c>
      <c r="F394" s="20">
        <f>F393</f>
        <v>28.099999999999998</v>
      </c>
      <c r="G394" s="21" t="str">
        <f>G393</f>
        <v>11,15*2,8-(0,8*2,1+1,2*1,2)</v>
      </c>
      <c r="H394" s="13" t="s">
        <v>196</v>
      </c>
      <c r="I394" s="35"/>
      <c r="J394" s="34"/>
      <c r="K394" s="34"/>
      <c r="L394" s="32"/>
      <c r="M394" s="32"/>
    </row>
    <row r="395" spans="1:13" ht="75" x14ac:dyDescent="0.25">
      <c r="A395" s="164">
        <v>376</v>
      </c>
      <c r="B395" s="207"/>
      <c r="C395" s="12" t="s">
        <v>72</v>
      </c>
      <c r="D395" s="163" t="s">
        <v>73</v>
      </c>
      <c r="E395" s="112" t="s">
        <v>8</v>
      </c>
      <c r="F395" s="20">
        <f>0.8*2.1+1.2*1.2</f>
        <v>3.12</v>
      </c>
      <c r="G395" s="21" t="s">
        <v>302</v>
      </c>
      <c r="H395" s="13" t="s">
        <v>196</v>
      </c>
      <c r="I395" s="35"/>
      <c r="J395" s="34"/>
      <c r="K395" s="34"/>
      <c r="L395" s="32"/>
      <c r="M395" s="32"/>
    </row>
    <row r="396" spans="1:13" ht="60" x14ac:dyDescent="0.25">
      <c r="A396" s="164">
        <v>377</v>
      </c>
      <c r="B396" s="207"/>
      <c r="C396" s="160" t="s">
        <v>74</v>
      </c>
      <c r="D396" s="163" t="s">
        <v>75</v>
      </c>
      <c r="E396" s="112" t="s">
        <v>8</v>
      </c>
      <c r="F396" s="20">
        <v>7.04</v>
      </c>
      <c r="G396" s="21">
        <v>7.04</v>
      </c>
      <c r="H396" s="13" t="s">
        <v>196</v>
      </c>
      <c r="I396" s="35"/>
      <c r="J396" s="34"/>
      <c r="K396" s="34"/>
      <c r="L396" s="32"/>
      <c r="M396" s="32"/>
    </row>
    <row r="397" spans="1:13" ht="60" x14ac:dyDescent="0.25">
      <c r="A397" s="164">
        <v>378</v>
      </c>
      <c r="B397" s="207"/>
      <c r="C397" s="113" t="s">
        <v>76</v>
      </c>
      <c r="D397" s="179" t="s">
        <v>77</v>
      </c>
      <c r="E397" s="112" t="s">
        <v>8</v>
      </c>
      <c r="F397" s="20">
        <v>7.04</v>
      </c>
      <c r="G397" s="21">
        <v>7.04</v>
      </c>
      <c r="H397" s="13" t="s">
        <v>196</v>
      </c>
      <c r="I397" s="35"/>
      <c r="J397" s="34"/>
      <c r="K397" s="34"/>
      <c r="L397" s="32"/>
      <c r="M397" s="32"/>
    </row>
    <row r="398" spans="1:13" ht="60" x14ac:dyDescent="0.25">
      <c r="A398" s="164">
        <v>379</v>
      </c>
      <c r="B398" s="207" t="s">
        <v>125</v>
      </c>
      <c r="C398" s="160" t="s">
        <v>74</v>
      </c>
      <c r="D398" s="163" t="s">
        <v>75</v>
      </c>
      <c r="E398" s="112" t="s">
        <v>8</v>
      </c>
      <c r="F398" s="20">
        <v>162.33000000000001</v>
      </c>
      <c r="G398" s="21">
        <v>162.33000000000001</v>
      </c>
      <c r="H398" s="13" t="s">
        <v>196</v>
      </c>
      <c r="I398" s="35"/>
      <c r="J398" s="34"/>
      <c r="K398" s="34"/>
      <c r="L398" s="32"/>
      <c r="M398" s="32"/>
    </row>
    <row r="399" spans="1:13" ht="60" x14ac:dyDescent="0.25">
      <c r="A399" s="164">
        <v>380</v>
      </c>
      <c r="B399" s="207"/>
      <c r="C399" s="113" t="s">
        <v>76</v>
      </c>
      <c r="D399" s="179" t="s">
        <v>77</v>
      </c>
      <c r="E399" s="112" t="s">
        <v>8</v>
      </c>
      <c r="F399" s="20">
        <v>162.33000000000001</v>
      </c>
      <c r="G399" s="21">
        <v>162.33000000000001</v>
      </c>
      <c r="H399" s="13" t="s">
        <v>196</v>
      </c>
      <c r="I399" s="35"/>
      <c r="J399" s="34"/>
      <c r="K399" s="34"/>
      <c r="L399" s="32"/>
      <c r="M399" s="32"/>
    </row>
    <row r="400" spans="1:13" ht="45" x14ac:dyDescent="0.25">
      <c r="A400" s="164">
        <v>381</v>
      </c>
      <c r="B400" s="207"/>
      <c r="C400" s="12" t="s">
        <v>68</v>
      </c>
      <c r="D400" s="180" t="s">
        <v>69</v>
      </c>
      <c r="E400" s="112" t="s">
        <v>8</v>
      </c>
      <c r="F400" s="20">
        <f>(49.48+5.13+15.95+112.3+8.45)*3.2+(13.5*3.9)+(44*0.6)*2</f>
        <v>717.64199999999994</v>
      </c>
      <c r="G400" s="21" t="s">
        <v>303</v>
      </c>
      <c r="H400" s="13" t="s">
        <v>196</v>
      </c>
      <c r="I400" s="35"/>
      <c r="J400" s="34"/>
      <c r="K400" s="34"/>
      <c r="L400" s="32"/>
      <c r="M400" s="32"/>
    </row>
    <row r="401" spans="1:13" ht="60" x14ac:dyDescent="0.25">
      <c r="A401" s="164">
        <v>382</v>
      </c>
      <c r="B401" s="207"/>
      <c r="C401" s="12" t="s">
        <v>70</v>
      </c>
      <c r="D401" s="180" t="s">
        <v>71</v>
      </c>
      <c r="E401" s="112" t="s">
        <v>8</v>
      </c>
      <c r="F401" s="20">
        <f>F400</f>
        <v>717.64199999999994</v>
      </c>
      <c r="G401" s="21" t="str">
        <f>G400</f>
        <v>(49,48+5,13+15,95+112,3+8,45)*3,2+(13,5*3,9)+(44*0,6)*2</v>
      </c>
      <c r="H401" s="13" t="s">
        <v>196</v>
      </c>
      <c r="I401" s="35"/>
      <c r="J401" s="34"/>
      <c r="K401" s="34"/>
      <c r="L401" s="32"/>
      <c r="M401" s="32"/>
    </row>
    <row r="402" spans="1:13" ht="45" x14ac:dyDescent="0.25">
      <c r="A402" s="164">
        <v>383</v>
      </c>
      <c r="B402" s="207" t="s">
        <v>124</v>
      </c>
      <c r="C402" s="12" t="s">
        <v>68</v>
      </c>
      <c r="D402" s="180" t="s">
        <v>69</v>
      </c>
      <c r="E402" s="112" t="s">
        <v>8</v>
      </c>
      <c r="F402" s="20">
        <f>(26.15+5.13)*3.2+(29.9+3.11+0.15+0.15+2.4)*1.15</f>
        <v>141.16249999999999</v>
      </c>
      <c r="G402" s="21" t="s">
        <v>304</v>
      </c>
      <c r="H402" s="13" t="s">
        <v>196</v>
      </c>
      <c r="I402" s="35"/>
      <c r="J402" s="34"/>
      <c r="K402" s="34"/>
      <c r="L402" s="32"/>
      <c r="M402" s="32"/>
    </row>
    <row r="403" spans="1:13" ht="60" x14ac:dyDescent="0.25">
      <c r="A403" s="164">
        <v>384</v>
      </c>
      <c r="B403" s="207"/>
      <c r="C403" s="12" t="s">
        <v>70</v>
      </c>
      <c r="D403" s="180" t="s">
        <v>71</v>
      </c>
      <c r="E403" s="112" t="s">
        <v>8</v>
      </c>
      <c r="F403" s="20">
        <f>F402</f>
        <v>141.16249999999999</v>
      </c>
      <c r="G403" s="21" t="str">
        <f>G402</f>
        <v>(26,15+5,13)*3,2+(29,9+3,11+0,15+0,15+2,4)*1,15</v>
      </c>
      <c r="H403" s="13" t="s">
        <v>196</v>
      </c>
      <c r="I403" s="35"/>
      <c r="J403" s="34"/>
      <c r="K403" s="34"/>
      <c r="L403" s="32"/>
      <c r="M403" s="32"/>
    </row>
    <row r="404" spans="1:13" ht="75" x14ac:dyDescent="0.25">
      <c r="A404" s="164">
        <v>385</v>
      </c>
      <c r="B404" s="207"/>
      <c r="C404" s="12" t="s">
        <v>72</v>
      </c>
      <c r="D404" s="163" t="s">
        <v>73</v>
      </c>
      <c r="E404" s="112" t="s">
        <v>8</v>
      </c>
      <c r="F404" s="20">
        <f>29.9*1.15+3.05*2.3</f>
        <v>41.4</v>
      </c>
      <c r="G404" s="21" t="s">
        <v>305</v>
      </c>
      <c r="H404" s="13" t="s">
        <v>196</v>
      </c>
      <c r="I404" s="35"/>
      <c r="J404" s="34"/>
      <c r="K404" s="34"/>
      <c r="L404" s="32"/>
      <c r="M404" s="32"/>
    </row>
    <row r="405" spans="1:13" ht="45" customHeight="1" x14ac:dyDescent="0.25">
      <c r="A405" s="164">
        <v>386</v>
      </c>
      <c r="B405" s="208" t="s">
        <v>130</v>
      </c>
      <c r="C405" s="208"/>
      <c r="D405" s="208"/>
      <c r="E405" s="208"/>
      <c r="F405" s="208"/>
      <c r="G405" s="208"/>
      <c r="H405" s="208"/>
      <c r="I405" s="35"/>
      <c r="J405" s="34"/>
      <c r="K405" s="34"/>
      <c r="L405" s="32"/>
      <c r="M405" s="32"/>
    </row>
    <row r="406" spans="1:13" ht="45" customHeight="1" x14ac:dyDescent="0.25">
      <c r="A406" s="164">
        <v>387</v>
      </c>
      <c r="B406" s="112"/>
      <c r="C406" s="150" t="s">
        <v>155</v>
      </c>
      <c r="D406" s="176" t="s">
        <v>154</v>
      </c>
      <c r="E406" s="112" t="s">
        <v>8</v>
      </c>
      <c r="F406" s="112">
        <v>2.88</v>
      </c>
      <c r="G406" s="112">
        <v>2.88</v>
      </c>
      <c r="H406" s="13" t="s">
        <v>196</v>
      </c>
      <c r="I406" s="35"/>
      <c r="J406" s="34"/>
      <c r="K406" s="34"/>
      <c r="L406" s="32"/>
      <c r="M406" s="32"/>
    </row>
    <row r="407" spans="1:13" ht="75" x14ac:dyDescent="0.25">
      <c r="A407" s="164">
        <v>388</v>
      </c>
      <c r="B407" s="209" t="s">
        <v>104</v>
      </c>
      <c r="C407" s="112" t="s">
        <v>150</v>
      </c>
      <c r="D407" s="163" t="s">
        <v>147</v>
      </c>
      <c r="E407" s="112" t="s">
        <v>146</v>
      </c>
      <c r="F407" s="112">
        <v>4</v>
      </c>
      <c r="G407" s="112">
        <v>4</v>
      </c>
      <c r="H407" s="13" t="s">
        <v>306</v>
      </c>
      <c r="I407" s="35"/>
      <c r="J407" s="34"/>
      <c r="K407" s="34"/>
      <c r="L407" s="32"/>
      <c r="M407" s="32"/>
    </row>
    <row r="408" spans="1:13" ht="45" customHeight="1" x14ac:dyDescent="0.25">
      <c r="A408" s="164">
        <v>389</v>
      </c>
      <c r="B408" s="209"/>
      <c r="C408" s="112" t="s">
        <v>149</v>
      </c>
      <c r="D408" s="163" t="s">
        <v>148</v>
      </c>
      <c r="E408" s="112" t="s">
        <v>19</v>
      </c>
      <c r="F408" s="112">
        <v>4</v>
      </c>
      <c r="G408" s="112">
        <v>4</v>
      </c>
      <c r="H408" s="13" t="s">
        <v>306</v>
      </c>
      <c r="I408" s="35"/>
      <c r="J408" s="34"/>
      <c r="K408" s="34"/>
      <c r="L408" s="32"/>
      <c r="M408" s="32"/>
    </row>
    <row r="409" spans="1:13" ht="45" x14ac:dyDescent="0.25">
      <c r="A409" s="164">
        <v>390</v>
      </c>
      <c r="B409" s="207" t="s">
        <v>114</v>
      </c>
      <c r="C409" s="12" t="s">
        <v>68</v>
      </c>
      <c r="D409" s="180" t="s">
        <v>69</v>
      </c>
      <c r="E409" s="112" t="s">
        <v>8</v>
      </c>
      <c r="F409" s="20">
        <f>12.87*3-F411</f>
        <v>35.49</v>
      </c>
      <c r="G409" s="20" t="s">
        <v>308</v>
      </c>
      <c r="H409" s="13" t="s">
        <v>196</v>
      </c>
      <c r="I409" s="35"/>
      <c r="J409" s="34"/>
      <c r="K409" s="34"/>
      <c r="L409" s="32"/>
      <c r="M409" s="32"/>
    </row>
    <row r="410" spans="1:13" ht="60" x14ac:dyDescent="0.25">
      <c r="A410" s="164">
        <v>391</v>
      </c>
      <c r="B410" s="207"/>
      <c r="C410" s="12" t="s">
        <v>70</v>
      </c>
      <c r="D410" s="180" t="s">
        <v>71</v>
      </c>
      <c r="E410" s="112" t="s">
        <v>8</v>
      </c>
      <c r="F410" s="20">
        <f>F409</f>
        <v>35.49</v>
      </c>
      <c r="G410" s="20" t="str">
        <f>G409</f>
        <v>12,87*3-(1,2*1,2+0,8*2,1)</v>
      </c>
      <c r="H410" s="13" t="s">
        <v>196</v>
      </c>
      <c r="I410" s="35"/>
      <c r="J410" s="34"/>
      <c r="K410" s="34"/>
      <c r="L410" s="32"/>
      <c r="M410" s="32"/>
    </row>
    <row r="411" spans="1:13" ht="75" x14ac:dyDescent="0.25">
      <c r="A411" s="164">
        <v>392</v>
      </c>
      <c r="B411" s="207"/>
      <c r="C411" s="12" t="s">
        <v>72</v>
      </c>
      <c r="D411" s="163" t="s">
        <v>73</v>
      </c>
      <c r="E411" s="112" t="s">
        <v>8</v>
      </c>
      <c r="F411" s="20">
        <f>1.2*1.2+0.8*2.1</f>
        <v>3.12</v>
      </c>
      <c r="G411" s="20" t="s">
        <v>307</v>
      </c>
      <c r="H411" s="13" t="s">
        <v>196</v>
      </c>
      <c r="I411" s="35"/>
      <c r="J411" s="34"/>
      <c r="K411" s="34"/>
      <c r="L411" s="32"/>
      <c r="M411" s="32"/>
    </row>
    <row r="412" spans="1:13" ht="60" x14ac:dyDescent="0.25">
      <c r="A412" s="164">
        <v>393</v>
      </c>
      <c r="B412" s="207"/>
      <c r="C412" s="160" t="s">
        <v>74</v>
      </c>
      <c r="D412" s="163" t="s">
        <v>75</v>
      </c>
      <c r="E412" s="112" t="s">
        <v>8</v>
      </c>
      <c r="F412" s="20">
        <v>10.23</v>
      </c>
      <c r="G412" s="20">
        <v>10.23</v>
      </c>
      <c r="H412" s="13" t="s">
        <v>196</v>
      </c>
      <c r="I412" s="35"/>
      <c r="J412" s="34"/>
      <c r="K412" s="34"/>
      <c r="L412" s="32"/>
      <c r="M412" s="32"/>
    </row>
    <row r="413" spans="1:13" ht="60" x14ac:dyDescent="0.25">
      <c r="A413" s="164">
        <v>394</v>
      </c>
      <c r="B413" s="207"/>
      <c r="C413" s="113" t="s">
        <v>76</v>
      </c>
      <c r="D413" s="179" t="s">
        <v>77</v>
      </c>
      <c r="E413" s="112" t="s">
        <v>8</v>
      </c>
      <c r="F413" s="20">
        <v>10.23</v>
      </c>
      <c r="G413" s="20">
        <v>10.23</v>
      </c>
      <c r="H413" s="13" t="s">
        <v>196</v>
      </c>
      <c r="I413" s="35"/>
      <c r="J413" s="34"/>
      <c r="K413" s="34"/>
      <c r="L413" s="32"/>
      <c r="M413" s="32"/>
    </row>
    <row r="414" spans="1:13" ht="45" x14ac:dyDescent="0.25">
      <c r="A414" s="164">
        <v>395</v>
      </c>
      <c r="B414" s="207" t="s">
        <v>115</v>
      </c>
      <c r="C414" s="12" t="s">
        <v>68</v>
      </c>
      <c r="D414" s="180" t="s">
        <v>69</v>
      </c>
      <c r="E414" s="112" t="s">
        <v>8</v>
      </c>
      <c r="F414" s="20">
        <f>2.68*3-F416</f>
        <v>6.7800000000000011</v>
      </c>
      <c r="G414" s="20" t="s">
        <v>309</v>
      </c>
      <c r="H414" s="13" t="s">
        <v>196</v>
      </c>
      <c r="I414" s="35"/>
      <c r="J414" s="34"/>
      <c r="K414" s="34"/>
      <c r="L414" s="32"/>
      <c r="M414" s="32"/>
    </row>
    <row r="415" spans="1:13" ht="60" x14ac:dyDescent="0.25">
      <c r="A415" s="164">
        <v>396</v>
      </c>
      <c r="B415" s="207"/>
      <c r="C415" s="12" t="s">
        <v>70</v>
      </c>
      <c r="D415" s="180" t="s">
        <v>71</v>
      </c>
      <c r="E415" s="112" t="s">
        <v>8</v>
      </c>
      <c r="F415" s="20">
        <f>F414</f>
        <v>6.7800000000000011</v>
      </c>
      <c r="G415" s="20" t="str">
        <f>G414</f>
        <v>2,68*3-(0,6*2,1)</v>
      </c>
      <c r="H415" s="13" t="s">
        <v>196</v>
      </c>
      <c r="I415" s="35"/>
      <c r="J415" s="34"/>
      <c r="K415" s="34"/>
      <c r="L415" s="32"/>
      <c r="M415" s="32"/>
    </row>
    <row r="416" spans="1:13" ht="75" x14ac:dyDescent="0.25">
      <c r="A416" s="164">
        <v>397</v>
      </c>
      <c r="B416" s="207"/>
      <c r="C416" s="12" t="s">
        <v>72</v>
      </c>
      <c r="D416" s="163" t="s">
        <v>73</v>
      </c>
      <c r="E416" s="112" t="s">
        <v>8</v>
      </c>
      <c r="F416" s="20">
        <f>0.6*2.1</f>
        <v>1.26</v>
      </c>
      <c r="G416" s="20" t="s">
        <v>310</v>
      </c>
      <c r="H416" s="13" t="s">
        <v>196</v>
      </c>
      <c r="I416" s="35"/>
      <c r="J416" s="34"/>
      <c r="K416" s="34"/>
      <c r="L416" s="32"/>
      <c r="M416" s="32"/>
    </row>
    <row r="417" spans="1:13" ht="60" x14ac:dyDescent="0.25">
      <c r="A417" s="164">
        <v>398</v>
      </c>
      <c r="B417" s="207"/>
      <c r="C417" s="160" t="s">
        <v>74</v>
      </c>
      <c r="D417" s="163" t="s">
        <v>75</v>
      </c>
      <c r="E417" s="112" t="s">
        <v>8</v>
      </c>
      <c r="F417" s="20">
        <v>2.64</v>
      </c>
      <c r="G417" s="20">
        <v>2.64</v>
      </c>
      <c r="H417" s="13" t="s">
        <v>196</v>
      </c>
      <c r="I417" s="35"/>
      <c r="J417" s="34"/>
      <c r="K417" s="34"/>
      <c r="L417" s="32"/>
      <c r="M417" s="32"/>
    </row>
    <row r="418" spans="1:13" ht="60" x14ac:dyDescent="0.25">
      <c r="A418" s="164">
        <v>399</v>
      </c>
      <c r="B418" s="207"/>
      <c r="C418" s="113" t="s">
        <v>76</v>
      </c>
      <c r="D418" s="179" t="s">
        <v>77</v>
      </c>
      <c r="E418" s="112" t="s">
        <v>8</v>
      </c>
      <c r="F418" s="20">
        <v>2.64</v>
      </c>
      <c r="G418" s="20">
        <v>2.64</v>
      </c>
      <c r="H418" s="13" t="s">
        <v>196</v>
      </c>
      <c r="I418" s="35"/>
      <c r="J418" s="34"/>
      <c r="K418" s="34"/>
      <c r="L418" s="32"/>
      <c r="M418" s="32"/>
    </row>
    <row r="419" spans="1:13" ht="45" x14ac:dyDescent="0.25">
      <c r="A419" s="164">
        <v>400</v>
      </c>
      <c r="B419" s="207" t="s">
        <v>103</v>
      </c>
      <c r="C419" s="12" t="s">
        <v>68</v>
      </c>
      <c r="D419" s="180" t="s">
        <v>69</v>
      </c>
      <c r="E419" s="112" t="s">
        <v>8</v>
      </c>
      <c r="F419" s="20">
        <f>17*3-F421</f>
        <v>46.92</v>
      </c>
      <c r="G419" s="20" t="s">
        <v>312</v>
      </c>
      <c r="H419" s="13" t="s">
        <v>196</v>
      </c>
      <c r="I419" s="35"/>
      <c r="J419" s="34"/>
      <c r="K419" s="34"/>
      <c r="L419" s="32"/>
      <c r="M419" s="32"/>
    </row>
    <row r="420" spans="1:13" ht="60" x14ac:dyDescent="0.25">
      <c r="A420" s="164">
        <v>401</v>
      </c>
      <c r="B420" s="207"/>
      <c r="C420" s="12" t="s">
        <v>70</v>
      </c>
      <c r="D420" s="180" t="s">
        <v>71</v>
      </c>
      <c r="E420" s="112" t="s">
        <v>8</v>
      </c>
      <c r="F420" s="20">
        <f>F419</f>
        <v>46.92</v>
      </c>
      <c r="G420" s="20" t="str">
        <f>G419</f>
        <v>17*3-(2*1,2+0,8*2,1)</v>
      </c>
      <c r="H420" s="13" t="s">
        <v>196</v>
      </c>
      <c r="I420" s="35"/>
      <c r="J420" s="34"/>
      <c r="K420" s="34"/>
      <c r="L420" s="32"/>
      <c r="M420" s="32"/>
    </row>
    <row r="421" spans="1:13" ht="75" x14ac:dyDescent="0.25">
      <c r="A421" s="164">
        <v>402</v>
      </c>
      <c r="B421" s="207"/>
      <c r="C421" s="12" t="s">
        <v>72</v>
      </c>
      <c r="D421" s="163" t="s">
        <v>73</v>
      </c>
      <c r="E421" s="112" t="s">
        <v>8</v>
      </c>
      <c r="F421" s="20">
        <f>2*1.2+0.8*2.1</f>
        <v>4.08</v>
      </c>
      <c r="G421" s="20" t="s">
        <v>311</v>
      </c>
      <c r="H421" s="13" t="s">
        <v>196</v>
      </c>
      <c r="I421" s="35"/>
      <c r="J421" s="34"/>
      <c r="K421" s="34"/>
      <c r="L421" s="32"/>
      <c r="M421" s="32"/>
    </row>
    <row r="422" spans="1:13" ht="60" x14ac:dyDescent="0.25">
      <c r="A422" s="164">
        <v>403</v>
      </c>
      <c r="B422" s="207"/>
      <c r="C422" s="160" t="s">
        <v>74</v>
      </c>
      <c r="D422" s="163" t="s">
        <v>75</v>
      </c>
      <c r="E422" s="112" t="s">
        <v>8</v>
      </c>
      <c r="F422" s="20">
        <v>15</v>
      </c>
      <c r="G422" s="20">
        <v>15</v>
      </c>
      <c r="H422" s="13" t="s">
        <v>196</v>
      </c>
      <c r="I422" s="35"/>
      <c r="J422" s="34"/>
      <c r="K422" s="34"/>
      <c r="L422" s="32"/>
      <c r="M422" s="32"/>
    </row>
    <row r="423" spans="1:13" ht="60" x14ac:dyDescent="0.25">
      <c r="A423" s="164">
        <v>404</v>
      </c>
      <c r="B423" s="207"/>
      <c r="C423" s="113" t="s">
        <v>76</v>
      </c>
      <c r="D423" s="179" t="s">
        <v>77</v>
      </c>
      <c r="E423" s="112" t="s">
        <v>8</v>
      </c>
      <c r="F423" s="20">
        <v>15</v>
      </c>
      <c r="G423" s="20">
        <v>15</v>
      </c>
      <c r="H423" s="13" t="s">
        <v>196</v>
      </c>
      <c r="I423" s="35"/>
      <c r="J423" s="34"/>
      <c r="K423" s="34"/>
      <c r="L423" s="32"/>
      <c r="M423" s="32"/>
    </row>
    <row r="424" spans="1:13" ht="45" x14ac:dyDescent="0.25">
      <c r="A424" s="164">
        <v>405</v>
      </c>
      <c r="B424" s="207" t="s">
        <v>116</v>
      </c>
      <c r="C424" s="12" t="s">
        <v>68</v>
      </c>
      <c r="D424" s="180" t="s">
        <v>69</v>
      </c>
      <c r="E424" s="112" t="s">
        <v>8</v>
      </c>
      <c r="F424" s="20">
        <f>27.99*3-F426</f>
        <v>75.09</v>
      </c>
      <c r="G424" s="20" t="s">
        <v>314</v>
      </c>
      <c r="H424" s="13" t="s">
        <v>196</v>
      </c>
      <c r="I424" s="35"/>
      <c r="J424" s="34"/>
      <c r="K424" s="34"/>
      <c r="L424" s="32"/>
      <c r="M424" s="32"/>
    </row>
    <row r="425" spans="1:13" ht="60" x14ac:dyDescent="0.25">
      <c r="A425" s="164">
        <v>406</v>
      </c>
      <c r="B425" s="207"/>
      <c r="C425" s="12" t="s">
        <v>70</v>
      </c>
      <c r="D425" s="180" t="s">
        <v>71</v>
      </c>
      <c r="E425" s="112" t="s">
        <v>8</v>
      </c>
      <c r="F425" s="20">
        <f>F424</f>
        <v>75.09</v>
      </c>
      <c r="G425" s="20" t="str">
        <f>G424</f>
        <v>27,99*3-(3*2*1,2+0,8*2,1)</v>
      </c>
      <c r="H425" s="13" t="s">
        <v>196</v>
      </c>
      <c r="I425" s="35"/>
      <c r="J425" s="34"/>
      <c r="K425" s="34"/>
      <c r="L425" s="32"/>
      <c r="M425" s="32"/>
    </row>
    <row r="426" spans="1:13" ht="75" x14ac:dyDescent="0.25">
      <c r="A426" s="164">
        <v>407</v>
      </c>
      <c r="B426" s="207"/>
      <c r="C426" s="12" t="s">
        <v>72</v>
      </c>
      <c r="D426" s="163" t="s">
        <v>73</v>
      </c>
      <c r="E426" s="112" t="s">
        <v>8</v>
      </c>
      <c r="F426" s="20">
        <f>3*2*1.2+0.8*2.1</f>
        <v>8.879999999999999</v>
      </c>
      <c r="G426" s="20" t="s">
        <v>313</v>
      </c>
      <c r="H426" s="13" t="s">
        <v>196</v>
      </c>
      <c r="I426" s="35"/>
      <c r="J426" s="34"/>
      <c r="K426" s="34"/>
      <c r="L426" s="32"/>
      <c r="M426" s="32"/>
    </row>
    <row r="427" spans="1:13" ht="60" x14ac:dyDescent="0.25">
      <c r="A427" s="164">
        <v>408</v>
      </c>
      <c r="B427" s="207"/>
      <c r="C427" s="160" t="s">
        <v>74</v>
      </c>
      <c r="D427" s="163" t="s">
        <v>75</v>
      </c>
      <c r="E427" s="112" t="s">
        <v>8</v>
      </c>
      <c r="F427" s="20">
        <v>47.99</v>
      </c>
      <c r="G427" s="20">
        <v>47.99</v>
      </c>
      <c r="H427" s="13" t="s">
        <v>196</v>
      </c>
      <c r="I427" s="35"/>
      <c r="J427" s="34"/>
      <c r="K427" s="34"/>
      <c r="L427" s="32"/>
      <c r="M427" s="32"/>
    </row>
    <row r="428" spans="1:13" ht="60" x14ac:dyDescent="0.25">
      <c r="A428" s="164">
        <v>409</v>
      </c>
      <c r="B428" s="207"/>
      <c r="C428" s="113" t="s">
        <v>76</v>
      </c>
      <c r="D428" s="179" t="s">
        <v>77</v>
      </c>
      <c r="E428" s="112" t="s">
        <v>8</v>
      </c>
      <c r="F428" s="20">
        <v>47.99</v>
      </c>
      <c r="G428" s="20">
        <v>47.99</v>
      </c>
      <c r="H428" s="13" t="s">
        <v>196</v>
      </c>
      <c r="I428" s="35"/>
      <c r="J428" s="34"/>
      <c r="K428" s="34"/>
      <c r="L428" s="32"/>
      <c r="M428" s="32"/>
    </row>
    <row r="429" spans="1:13" ht="45" x14ac:dyDescent="0.25">
      <c r="A429" s="164">
        <v>410</v>
      </c>
      <c r="B429" s="207" t="s">
        <v>117</v>
      </c>
      <c r="C429" s="12" t="s">
        <v>68</v>
      </c>
      <c r="D429" s="180" t="s">
        <v>69</v>
      </c>
      <c r="E429" s="112" t="s">
        <v>8</v>
      </c>
      <c r="F429" s="20">
        <f>24*3-F431</f>
        <v>60.72</v>
      </c>
      <c r="G429" s="20" t="s">
        <v>316</v>
      </c>
      <c r="H429" s="13" t="s">
        <v>196</v>
      </c>
      <c r="I429" s="35"/>
      <c r="J429" s="34"/>
      <c r="K429" s="34"/>
      <c r="L429" s="32"/>
      <c r="M429" s="32"/>
    </row>
    <row r="430" spans="1:13" ht="60" x14ac:dyDescent="0.25">
      <c r="A430" s="164">
        <v>411</v>
      </c>
      <c r="B430" s="207"/>
      <c r="C430" s="12" t="s">
        <v>70</v>
      </c>
      <c r="D430" s="180" t="s">
        <v>71</v>
      </c>
      <c r="E430" s="112" t="s">
        <v>8</v>
      </c>
      <c r="F430" s="20">
        <f>F429</f>
        <v>60.72</v>
      </c>
      <c r="G430" s="20" t="str">
        <f>G429</f>
        <v>24*3-(4*2*1,2+0,8*2,1)</v>
      </c>
      <c r="H430" s="13" t="s">
        <v>196</v>
      </c>
      <c r="I430" s="35"/>
      <c r="J430" s="34"/>
      <c r="K430" s="34"/>
      <c r="L430" s="32"/>
      <c r="M430" s="32"/>
    </row>
    <row r="431" spans="1:13" ht="75" x14ac:dyDescent="0.25">
      <c r="A431" s="164">
        <v>412</v>
      </c>
      <c r="B431" s="207"/>
      <c r="C431" s="12" t="s">
        <v>72</v>
      </c>
      <c r="D431" s="163" t="s">
        <v>73</v>
      </c>
      <c r="E431" s="112" t="s">
        <v>8</v>
      </c>
      <c r="F431" s="20">
        <f>4*2*1.2+0.8*2.1</f>
        <v>11.28</v>
      </c>
      <c r="G431" s="20" t="s">
        <v>315</v>
      </c>
      <c r="H431" s="13" t="s">
        <v>196</v>
      </c>
      <c r="I431" s="35"/>
      <c r="J431" s="34"/>
      <c r="K431" s="34"/>
      <c r="L431" s="32"/>
      <c r="M431" s="32"/>
    </row>
    <row r="432" spans="1:13" ht="60" x14ac:dyDescent="0.25">
      <c r="A432" s="164">
        <v>413</v>
      </c>
      <c r="B432" s="207"/>
      <c r="C432" s="160" t="s">
        <v>74</v>
      </c>
      <c r="D432" s="163" t="s">
        <v>75</v>
      </c>
      <c r="E432" s="112" t="s">
        <v>8</v>
      </c>
      <c r="F432" s="20">
        <v>36</v>
      </c>
      <c r="G432" s="20">
        <v>36</v>
      </c>
      <c r="H432" s="13" t="s">
        <v>196</v>
      </c>
      <c r="I432" s="35"/>
      <c r="J432" s="34"/>
      <c r="K432" s="34"/>
      <c r="L432" s="32"/>
      <c r="M432" s="32"/>
    </row>
    <row r="433" spans="1:13" ht="60" x14ac:dyDescent="0.25">
      <c r="A433" s="164">
        <v>414</v>
      </c>
      <c r="B433" s="207"/>
      <c r="C433" s="113" t="s">
        <v>76</v>
      </c>
      <c r="D433" s="179" t="s">
        <v>77</v>
      </c>
      <c r="E433" s="112" t="s">
        <v>8</v>
      </c>
      <c r="F433" s="20">
        <v>36</v>
      </c>
      <c r="G433" s="20">
        <v>36</v>
      </c>
      <c r="H433" s="13" t="s">
        <v>196</v>
      </c>
      <c r="I433" s="35"/>
      <c r="J433" s="34"/>
      <c r="K433" s="34"/>
      <c r="L433" s="32"/>
      <c r="M433" s="32"/>
    </row>
    <row r="434" spans="1:13" ht="45" x14ac:dyDescent="0.25">
      <c r="A434" s="164">
        <v>415</v>
      </c>
      <c r="B434" s="207" t="s">
        <v>118</v>
      </c>
      <c r="C434" s="12" t="s">
        <v>68</v>
      </c>
      <c r="D434" s="180" t="s">
        <v>69</v>
      </c>
      <c r="E434" s="112" t="s">
        <v>8</v>
      </c>
      <c r="F434" s="20">
        <f>27.99*3-F436</f>
        <v>75.09</v>
      </c>
      <c r="G434" s="20" t="s">
        <v>314</v>
      </c>
      <c r="H434" s="13" t="s">
        <v>196</v>
      </c>
      <c r="I434" s="35"/>
      <c r="J434" s="34"/>
      <c r="K434" s="34"/>
      <c r="L434" s="32"/>
      <c r="M434" s="32"/>
    </row>
    <row r="435" spans="1:13" ht="60" x14ac:dyDescent="0.25">
      <c r="A435" s="164">
        <v>416</v>
      </c>
      <c r="B435" s="207"/>
      <c r="C435" s="12" t="s">
        <v>70</v>
      </c>
      <c r="D435" s="180" t="s">
        <v>71</v>
      </c>
      <c r="E435" s="112" t="s">
        <v>8</v>
      </c>
      <c r="F435" s="20">
        <f>F434</f>
        <v>75.09</v>
      </c>
      <c r="G435" s="20" t="str">
        <f>G434</f>
        <v>27,99*3-(3*2*1,2+0,8*2,1)</v>
      </c>
      <c r="H435" s="13" t="s">
        <v>196</v>
      </c>
      <c r="I435" s="35"/>
      <c r="J435" s="34"/>
      <c r="K435" s="34"/>
      <c r="L435" s="32"/>
      <c r="M435" s="32"/>
    </row>
    <row r="436" spans="1:13" ht="75" x14ac:dyDescent="0.25">
      <c r="A436" s="164">
        <v>417</v>
      </c>
      <c r="B436" s="207"/>
      <c r="C436" s="12" t="s">
        <v>72</v>
      </c>
      <c r="D436" s="163" t="s">
        <v>73</v>
      </c>
      <c r="E436" s="112" t="s">
        <v>8</v>
      </c>
      <c r="F436" s="20">
        <f>3*2*1.2+0.8*2.1</f>
        <v>8.879999999999999</v>
      </c>
      <c r="G436" s="20" t="s">
        <v>313</v>
      </c>
      <c r="H436" s="13" t="s">
        <v>196</v>
      </c>
      <c r="I436" s="35"/>
      <c r="J436" s="34"/>
      <c r="K436" s="34"/>
      <c r="L436" s="32"/>
      <c r="M436" s="32"/>
    </row>
    <row r="437" spans="1:13" ht="60" x14ac:dyDescent="0.25">
      <c r="A437" s="164">
        <v>418</v>
      </c>
      <c r="B437" s="207"/>
      <c r="C437" s="160" t="s">
        <v>74</v>
      </c>
      <c r="D437" s="163" t="s">
        <v>75</v>
      </c>
      <c r="E437" s="112" t="s">
        <v>8</v>
      </c>
      <c r="F437" s="20">
        <v>47.99</v>
      </c>
      <c r="G437" s="20">
        <v>47.99</v>
      </c>
      <c r="H437" s="13" t="s">
        <v>196</v>
      </c>
      <c r="I437" s="35"/>
      <c r="J437" s="34"/>
      <c r="K437" s="34"/>
      <c r="L437" s="32"/>
      <c r="M437" s="32"/>
    </row>
    <row r="438" spans="1:13" ht="60" x14ac:dyDescent="0.25">
      <c r="A438" s="164">
        <v>419</v>
      </c>
      <c r="B438" s="207"/>
      <c r="C438" s="113" t="s">
        <v>76</v>
      </c>
      <c r="D438" s="179" t="s">
        <v>77</v>
      </c>
      <c r="E438" s="112" t="s">
        <v>8</v>
      </c>
      <c r="F438" s="20">
        <v>47.99</v>
      </c>
      <c r="G438" s="20">
        <v>47.99</v>
      </c>
      <c r="H438" s="13" t="s">
        <v>196</v>
      </c>
      <c r="I438" s="35"/>
      <c r="J438" s="34"/>
      <c r="K438" s="34"/>
      <c r="L438" s="32"/>
      <c r="M438" s="32"/>
    </row>
    <row r="439" spans="1:13" ht="45" x14ac:dyDescent="0.25">
      <c r="A439" s="164">
        <v>420</v>
      </c>
      <c r="B439" s="207" t="s">
        <v>126</v>
      </c>
      <c r="C439" s="12" t="s">
        <v>68</v>
      </c>
      <c r="D439" s="180" t="s">
        <v>69</v>
      </c>
      <c r="E439" s="112" t="s">
        <v>8</v>
      </c>
      <c r="F439" s="20">
        <f>24*3-F441</f>
        <v>60.72</v>
      </c>
      <c r="G439" s="20" t="s">
        <v>316</v>
      </c>
      <c r="H439" s="13" t="s">
        <v>196</v>
      </c>
      <c r="I439" s="35"/>
      <c r="J439" s="34"/>
      <c r="K439" s="34"/>
      <c r="L439" s="32"/>
      <c r="M439" s="32"/>
    </row>
    <row r="440" spans="1:13" ht="60" x14ac:dyDescent="0.25">
      <c r="A440" s="164">
        <v>421</v>
      </c>
      <c r="B440" s="207"/>
      <c r="C440" s="12" t="s">
        <v>70</v>
      </c>
      <c r="D440" s="180" t="s">
        <v>71</v>
      </c>
      <c r="E440" s="112" t="s">
        <v>8</v>
      </c>
      <c r="F440" s="20">
        <f>F439</f>
        <v>60.72</v>
      </c>
      <c r="G440" s="20" t="str">
        <f>G439</f>
        <v>24*3-(4*2*1,2+0,8*2,1)</v>
      </c>
      <c r="H440" s="13" t="s">
        <v>196</v>
      </c>
      <c r="I440" s="35"/>
      <c r="J440" s="34"/>
      <c r="K440" s="34"/>
      <c r="L440" s="32"/>
      <c r="M440" s="32"/>
    </row>
    <row r="441" spans="1:13" ht="75" x14ac:dyDescent="0.25">
      <c r="A441" s="164">
        <v>422</v>
      </c>
      <c r="B441" s="207"/>
      <c r="C441" s="12" t="s">
        <v>72</v>
      </c>
      <c r="D441" s="163" t="s">
        <v>73</v>
      </c>
      <c r="E441" s="112" t="s">
        <v>8</v>
      </c>
      <c r="F441" s="20">
        <f>4*2*1.2+0.8*2.1</f>
        <v>11.28</v>
      </c>
      <c r="G441" s="20" t="s">
        <v>315</v>
      </c>
      <c r="H441" s="13" t="s">
        <v>196</v>
      </c>
      <c r="I441" s="35"/>
      <c r="J441" s="34"/>
      <c r="K441" s="34"/>
      <c r="L441" s="32"/>
      <c r="M441" s="32"/>
    </row>
    <row r="442" spans="1:13" ht="60" x14ac:dyDescent="0.25">
      <c r="A442" s="164">
        <v>423</v>
      </c>
      <c r="B442" s="207"/>
      <c r="C442" s="160" t="s">
        <v>74</v>
      </c>
      <c r="D442" s="163" t="s">
        <v>75</v>
      </c>
      <c r="E442" s="112" t="s">
        <v>8</v>
      </c>
      <c r="F442" s="20">
        <v>36</v>
      </c>
      <c r="G442" s="20">
        <v>36</v>
      </c>
      <c r="H442" s="13" t="s">
        <v>196</v>
      </c>
      <c r="I442" s="35"/>
      <c r="J442" s="34"/>
      <c r="K442" s="34"/>
      <c r="L442" s="32"/>
      <c r="M442" s="32"/>
    </row>
    <row r="443" spans="1:13" ht="60" x14ac:dyDescent="0.25">
      <c r="A443" s="164">
        <v>424</v>
      </c>
      <c r="B443" s="207"/>
      <c r="C443" s="113" t="s">
        <v>76</v>
      </c>
      <c r="D443" s="179" t="s">
        <v>77</v>
      </c>
      <c r="E443" s="112" t="s">
        <v>8</v>
      </c>
      <c r="F443" s="20">
        <v>36</v>
      </c>
      <c r="G443" s="20">
        <v>36</v>
      </c>
      <c r="H443" s="13" t="s">
        <v>196</v>
      </c>
      <c r="I443" s="35"/>
      <c r="J443" s="34"/>
      <c r="K443" s="34"/>
      <c r="L443" s="32"/>
      <c r="M443" s="32"/>
    </row>
    <row r="444" spans="1:13" ht="45" x14ac:dyDescent="0.25">
      <c r="A444" s="164">
        <v>425</v>
      </c>
      <c r="B444" s="207" t="s">
        <v>131</v>
      </c>
      <c r="C444" s="12" t="s">
        <v>68</v>
      </c>
      <c r="D444" s="180" t="s">
        <v>69</v>
      </c>
      <c r="E444" s="112" t="s">
        <v>8</v>
      </c>
      <c r="F444" s="20">
        <f>38.8*3-F446</f>
        <v>100.44</v>
      </c>
      <c r="G444" s="20" t="s">
        <v>317</v>
      </c>
      <c r="H444" s="13" t="s">
        <v>196</v>
      </c>
      <c r="I444" s="35"/>
      <c r="J444" s="34"/>
      <c r="K444" s="34"/>
      <c r="L444" s="32"/>
      <c r="M444" s="32"/>
    </row>
    <row r="445" spans="1:13" ht="60" x14ac:dyDescent="0.25">
      <c r="A445" s="164">
        <v>426</v>
      </c>
      <c r="B445" s="207"/>
      <c r="C445" s="12" t="s">
        <v>70</v>
      </c>
      <c r="D445" s="180" t="s">
        <v>71</v>
      </c>
      <c r="E445" s="112" t="s">
        <v>8</v>
      </c>
      <c r="F445" s="20">
        <f>F444</f>
        <v>100.44</v>
      </c>
      <c r="G445" s="20" t="str">
        <f>G444</f>
        <v>38,8*3-(7*0,8*2,1+2*2,1)</v>
      </c>
      <c r="H445" s="13" t="s">
        <v>196</v>
      </c>
      <c r="I445" s="35"/>
      <c r="J445" s="34"/>
      <c r="K445" s="34"/>
      <c r="L445" s="32"/>
      <c r="M445" s="32"/>
    </row>
    <row r="446" spans="1:13" ht="75" x14ac:dyDescent="0.25">
      <c r="A446" s="164">
        <v>427</v>
      </c>
      <c r="B446" s="207"/>
      <c r="C446" s="12" t="s">
        <v>72</v>
      </c>
      <c r="D446" s="163" t="s">
        <v>73</v>
      </c>
      <c r="E446" s="112" t="s">
        <v>8</v>
      </c>
      <c r="F446" s="20">
        <f>7*0.8*2.1+2*2.1</f>
        <v>15.96</v>
      </c>
      <c r="G446" s="20" t="s">
        <v>318</v>
      </c>
      <c r="H446" s="13" t="s">
        <v>196</v>
      </c>
      <c r="I446" s="35"/>
      <c r="J446" s="34"/>
      <c r="K446" s="34"/>
      <c r="L446" s="32"/>
      <c r="M446" s="32"/>
    </row>
    <row r="447" spans="1:13" ht="60" x14ac:dyDescent="0.25">
      <c r="A447" s="164">
        <v>428</v>
      </c>
      <c r="B447" s="207"/>
      <c r="C447" s="160" t="s">
        <v>74</v>
      </c>
      <c r="D447" s="163" t="s">
        <v>75</v>
      </c>
      <c r="E447" s="112" t="s">
        <v>8</v>
      </c>
      <c r="F447" s="20">
        <v>40.36</v>
      </c>
      <c r="G447" s="20">
        <v>40.36</v>
      </c>
      <c r="H447" s="13" t="s">
        <v>196</v>
      </c>
      <c r="I447" s="35"/>
      <c r="J447" s="34"/>
      <c r="K447" s="34"/>
      <c r="L447" s="32"/>
      <c r="M447" s="32"/>
    </row>
    <row r="448" spans="1:13" ht="60" x14ac:dyDescent="0.25">
      <c r="A448" s="164">
        <v>429</v>
      </c>
      <c r="B448" s="207"/>
      <c r="C448" s="113" t="s">
        <v>76</v>
      </c>
      <c r="D448" s="179" t="s">
        <v>77</v>
      </c>
      <c r="E448" s="112" t="s">
        <v>8</v>
      </c>
      <c r="F448" s="20">
        <v>40.36</v>
      </c>
      <c r="G448" s="20">
        <v>40.36</v>
      </c>
      <c r="H448" s="13" t="s">
        <v>196</v>
      </c>
      <c r="I448" s="35"/>
      <c r="J448" s="34"/>
      <c r="K448" s="34"/>
      <c r="L448" s="32"/>
      <c r="M448" s="32"/>
    </row>
    <row r="449" spans="1:13" ht="45" x14ac:dyDescent="0.25">
      <c r="A449" s="164">
        <v>430</v>
      </c>
      <c r="B449" s="207" t="s">
        <v>132</v>
      </c>
      <c r="C449" s="12" t="s">
        <v>68</v>
      </c>
      <c r="D449" s="180" t="s">
        <v>69</v>
      </c>
      <c r="E449" s="112" t="s">
        <v>8</v>
      </c>
      <c r="F449" s="20">
        <f>20*3-F451</f>
        <v>50.76</v>
      </c>
      <c r="G449" s="20" t="s">
        <v>320</v>
      </c>
      <c r="H449" s="13" t="s">
        <v>196</v>
      </c>
      <c r="I449" s="35"/>
      <c r="J449" s="34"/>
      <c r="K449" s="34"/>
      <c r="L449" s="32"/>
      <c r="M449" s="32"/>
    </row>
    <row r="450" spans="1:13" ht="60" x14ac:dyDescent="0.25">
      <c r="A450" s="164">
        <v>431</v>
      </c>
      <c r="B450" s="207"/>
      <c r="C450" s="12" t="s">
        <v>70</v>
      </c>
      <c r="D450" s="180" t="s">
        <v>71</v>
      </c>
      <c r="E450" s="112" t="s">
        <v>8</v>
      </c>
      <c r="F450" s="20">
        <f>F449</f>
        <v>50.76</v>
      </c>
      <c r="G450" s="20" t="str">
        <f>G449</f>
        <v>20*3-(3*0,8*2,1+1,5*1,2+2*1,2)</v>
      </c>
      <c r="H450" s="13" t="s">
        <v>196</v>
      </c>
      <c r="I450" s="35"/>
      <c r="J450" s="34"/>
      <c r="K450" s="34"/>
      <c r="L450" s="32"/>
      <c r="M450" s="32"/>
    </row>
    <row r="451" spans="1:13" ht="75" x14ac:dyDescent="0.25">
      <c r="A451" s="164">
        <v>432</v>
      </c>
      <c r="B451" s="207"/>
      <c r="C451" s="12" t="s">
        <v>72</v>
      </c>
      <c r="D451" s="163" t="s">
        <v>73</v>
      </c>
      <c r="E451" s="112" t="s">
        <v>8</v>
      </c>
      <c r="F451" s="20">
        <f>3*0.8*2.1+1.5*1.2+2*1.2</f>
        <v>9.24</v>
      </c>
      <c r="G451" s="20" t="s">
        <v>319</v>
      </c>
      <c r="H451" s="13" t="s">
        <v>196</v>
      </c>
      <c r="I451" s="35"/>
      <c r="J451" s="34"/>
      <c r="K451" s="34"/>
      <c r="L451" s="32"/>
      <c r="M451" s="32"/>
    </row>
    <row r="452" spans="1:13" ht="60" x14ac:dyDescent="0.25">
      <c r="A452" s="164">
        <v>433</v>
      </c>
      <c r="B452" s="207"/>
      <c r="C452" s="160" t="s">
        <v>74</v>
      </c>
      <c r="D452" s="163" t="s">
        <v>75</v>
      </c>
      <c r="E452" s="112" t="s">
        <v>8</v>
      </c>
      <c r="F452" s="20">
        <v>19.73</v>
      </c>
      <c r="G452" s="20">
        <v>19.73</v>
      </c>
      <c r="H452" s="13" t="s">
        <v>196</v>
      </c>
      <c r="I452" s="35"/>
      <c r="J452" s="34"/>
      <c r="K452" s="34"/>
      <c r="L452" s="32"/>
      <c r="M452" s="32"/>
    </row>
    <row r="453" spans="1:13" ht="60" x14ac:dyDescent="0.25">
      <c r="A453" s="164">
        <v>434</v>
      </c>
      <c r="B453" s="207"/>
      <c r="C453" s="113" t="s">
        <v>76</v>
      </c>
      <c r="D453" s="179" t="s">
        <v>77</v>
      </c>
      <c r="E453" s="112" t="s">
        <v>8</v>
      </c>
      <c r="F453" s="20">
        <v>19.73</v>
      </c>
      <c r="G453" s="20">
        <v>19.73</v>
      </c>
      <c r="H453" s="13" t="s">
        <v>196</v>
      </c>
      <c r="I453" s="35"/>
      <c r="J453" s="34"/>
      <c r="K453" s="34"/>
      <c r="L453" s="32"/>
      <c r="M453" s="32"/>
    </row>
    <row r="454" spans="1:13" ht="45" x14ac:dyDescent="0.25">
      <c r="A454" s="164">
        <v>435</v>
      </c>
      <c r="B454" s="207" t="s">
        <v>133</v>
      </c>
      <c r="C454" s="12" t="s">
        <v>68</v>
      </c>
      <c r="D454" s="180" t="s">
        <v>69</v>
      </c>
      <c r="E454" s="112" t="s">
        <v>8</v>
      </c>
      <c r="F454" s="20">
        <f>36.55*3-F456</f>
        <v>95.969999999999985</v>
      </c>
      <c r="G454" s="20" t="s">
        <v>322</v>
      </c>
      <c r="H454" s="13" t="s">
        <v>196</v>
      </c>
      <c r="I454" s="35"/>
      <c r="J454" s="34"/>
      <c r="K454" s="34"/>
      <c r="L454" s="32"/>
      <c r="M454" s="32"/>
    </row>
    <row r="455" spans="1:13" ht="60" x14ac:dyDescent="0.25">
      <c r="A455" s="164">
        <v>436</v>
      </c>
      <c r="B455" s="207"/>
      <c r="C455" s="12" t="s">
        <v>70</v>
      </c>
      <c r="D455" s="180" t="s">
        <v>71</v>
      </c>
      <c r="E455" s="112" t="s">
        <v>8</v>
      </c>
      <c r="F455" s="20">
        <f>F454</f>
        <v>95.969999999999985</v>
      </c>
      <c r="G455" s="20" t="str">
        <f>G454</f>
        <v>36,55*3-(6*0,8*2,1+2*1,5*1,2)</v>
      </c>
      <c r="H455" s="13" t="s">
        <v>196</v>
      </c>
      <c r="I455" s="35"/>
      <c r="J455" s="34"/>
      <c r="K455" s="34"/>
      <c r="L455" s="32"/>
      <c r="M455" s="32"/>
    </row>
    <row r="456" spans="1:13" ht="75" x14ac:dyDescent="0.25">
      <c r="A456" s="164">
        <v>437</v>
      </c>
      <c r="B456" s="207"/>
      <c r="C456" s="12" t="s">
        <v>72</v>
      </c>
      <c r="D456" s="163" t="s">
        <v>73</v>
      </c>
      <c r="E456" s="112" t="s">
        <v>8</v>
      </c>
      <c r="F456" s="20">
        <f>6*0.8*2.1+2*1.5*1.2</f>
        <v>13.680000000000001</v>
      </c>
      <c r="G456" s="20" t="s">
        <v>321</v>
      </c>
      <c r="H456" s="13" t="s">
        <v>196</v>
      </c>
      <c r="I456" s="35"/>
      <c r="J456" s="34"/>
      <c r="K456" s="34"/>
      <c r="L456" s="32"/>
      <c r="M456" s="32"/>
    </row>
    <row r="457" spans="1:13" ht="60" x14ac:dyDescent="0.25">
      <c r="A457" s="164">
        <v>438</v>
      </c>
      <c r="B457" s="207"/>
      <c r="C457" s="160" t="s">
        <v>74</v>
      </c>
      <c r="D457" s="163" t="s">
        <v>75</v>
      </c>
      <c r="E457" s="112" t="s">
        <v>8</v>
      </c>
      <c r="F457" s="20">
        <v>47.73</v>
      </c>
      <c r="G457" s="20">
        <v>47.73</v>
      </c>
      <c r="H457" s="13" t="s">
        <v>196</v>
      </c>
      <c r="I457" s="35"/>
      <c r="J457" s="34"/>
      <c r="K457" s="34"/>
      <c r="L457" s="32"/>
      <c r="M457" s="32"/>
    </row>
    <row r="458" spans="1:13" ht="60" x14ac:dyDescent="0.25">
      <c r="A458" s="164">
        <v>439</v>
      </c>
      <c r="B458" s="207"/>
      <c r="C458" s="113" t="s">
        <v>76</v>
      </c>
      <c r="D458" s="179" t="s">
        <v>77</v>
      </c>
      <c r="E458" s="112" t="s">
        <v>8</v>
      </c>
      <c r="F458" s="20">
        <v>47.73</v>
      </c>
      <c r="G458" s="20">
        <v>47.73</v>
      </c>
      <c r="H458" s="13" t="s">
        <v>196</v>
      </c>
      <c r="I458" s="35"/>
      <c r="J458" s="34"/>
      <c r="K458" s="34"/>
      <c r="L458" s="32"/>
      <c r="M458" s="32"/>
    </row>
    <row r="459" spans="1:13" ht="75" x14ac:dyDescent="0.25">
      <c r="A459" s="164">
        <v>440</v>
      </c>
      <c r="B459" s="207" t="s">
        <v>119</v>
      </c>
      <c r="C459" s="12" t="s">
        <v>72</v>
      </c>
      <c r="D459" s="163" t="s">
        <v>73</v>
      </c>
      <c r="E459" s="112" t="s">
        <v>8</v>
      </c>
      <c r="F459" s="20">
        <f>1.8*1.2+0.8*2.1</f>
        <v>3.8400000000000003</v>
      </c>
      <c r="G459" s="20" t="s">
        <v>323</v>
      </c>
      <c r="H459" s="13" t="s">
        <v>196</v>
      </c>
      <c r="I459" s="35"/>
      <c r="J459" s="34"/>
      <c r="K459" s="34"/>
      <c r="L459" s="32"/>
      <c r="M459" s="32"/>
    </row>
    <row r="460" spans="1:13" ht="60" x14ac:dyDescent="0.25">
      <c r="A460" s="164">
        <v>441</v>
      </c>
      <c r="B460" s="207"/>
      <c r="C460" s="160" t="s">
        <v>74</v>
      </c>
      <c r="D460" s="163" t="s">
        <v>75</v>
      </c>
      <c r="E460" s="112" t="s">
        <v>8</v>
      </c>
      <c r="F460" s="20">
        <v>4.67</v>
      </c>
      <c r="G460" s="20">
        <v>4.67</v>
      </c>
      <c r="H460" s="13" t="s">
        <v>196</v>
      </c>
      <c r="I460" s="35"/>
      <c r="J460" s="34"/>
      <c r="K460" s="34"/>
      <c r="L460" s="32"/>
      <c r="M460" s="32"/>
    </row>
    <row r="461" spans="1:13" ht="60" x14ac:dyDescent="0.25">
      <c r="A461" s="164">
        <v>442</v>
      </c>
      <c r="B461" s="207"/>
      <c r="C461" s="113" t="s">
        <v>76</v>
      </c>
      <c r="D461" s="179" t="s">
        <v>77</v>
      </c>
      <c r="E461" s="112" t="s">
        <v>8</v>
      </c>
      <c r="F461" s="20">
        <v>4.67</v>
      </c>
      <c r="G461" s="20">
        <v>4.67</v>
      </c>
      <c r="H461" s="13" t="s">
        <v>196</v>
      </c>
      <c r="I461" s="35"/>
      <c r="J461" s="34"/>
      <c r="K461" s="34"/>
      <c r="L461" s="32"/>
      <c r="M461" s="32"/>
    </row>
    <row r="462" spans="1:13" ht="75" x14ac:dyDescent="0.25">
      <c r="A462" s="164">
        <v>443</v>
      </c>
      <c r="B462" s="207" t="s">
        <v>120</v>
      </c>
      <c r="C462" s="12" t="s">
        <v>72</v>
      </c>
      <c r="D462" s="163" t="s">
        <v>73</v>
      </c>
      <c r="E462" s="112" t="s">
        <v>8</v>
      </c>
      <c r="F462" s="20">
        <f>1.5*1.2+0.8*2.1</f>
        <v>3.48</v>
      </c>
      <c r="G462" s="20" t="s">
        <v>324</v>
      </c>
      <c r="H462" s="13" t="s">
        <v>196</v>
      </c>
      <c r="I462" s="35"/>
      <c r="J462" s="34"/>
      <c r="K462" s="34"/>
      <c r="L462" s="32"/>
      <c r="M462" s="32"/>
    </row>
    <row r="463" spans="1:13" ht="60" x14ac:dyDescent="0.25">
      <c r="A463" s="164">
        <v>444</v>
      </c>
      <c r="B463" s="207"/>
      <c r="C463" s="160" t="s">
        <v>74</v>
      </c>
      <c r="D463" s="163" t="s">
        <v>75</v>
      </c>
      <c r="E463" s="112" t="s">
        <v>8</v>
      </c>
      <c r="F463" s="20">
        <v>5.84</v>
      </c>
      <c r="G463" s="20">
        <v>5.84</v>
      </c>
      <c r="H463" s="13" t="s">
        <v>196</v>
      </c>
      <c r="I463" s="35"/>
      <c r="J463" s="34"/>
      <c r="K463" s="34"/>
      <c r="L463" s="32"/>
      <c r="M463" s="32"/>
    </row>
    <row r="464" spans="1:13" ht="60" x14ac:dyDescent="0.25">
      <c r="A464" s="164">
        <v>445</v>
      </c>
      <c r="B464" s="207"/>
      <c r="C464" s="113" t="s">
        <v>76</v>
      </c>
      <c r="D464" s="179" t="s">
        <v>77</v>
      </c>
      <c r="E464" s="112" t="s">
        <v>8</v>
      </c>
      <c r="F464" s="20">
        <v>5.84</v>
      </c>
      <c r="G464" s="20">
        <v>5.84</v>
      </c>
      <c r="H464" s="13" t="s">
        <v>196</v>
      </c>
      <c r="I464" s="35"/>
      <c r="J464" s="34"/>
      <c r="K464" s="34"/>
      <c r="L464" s="32"/>
      <c r="M464" s="32"/>
    </row>
    <row r="465" spans="1:13" ht="75" x14ac:dyDescent="0.25">
      <c r="A465" s="164">
        <v>446</v>
      </c>
      <c r="B465" s="207" t="s">
        <v>122</v>
      </c>
      <c r="C465" s="12" t="s">
        <v>72</v>
      </c>
      <c r="D465" s="163" t="s">
        <v>73</v>
      </c>
      <c r="E465" s="112" t="s">
        <v>8</v>
      </c>
      <c r="F465" s="20">
        <f>0.8*2.1+1*1</f>
        <v>2.68</v>
      </c>
      <c r="G465" s="20" t="s">
        <v>325</v>
      </c>
      <c r="H465" s="13" t="s">
        <v>196</v>
      </c>
      <c r="I465" s="35"/>
      <c r="J465" s="34"/>
      <c r="K465" s="34"/>
      <c r="L465" s="32"/>
      <c r="M465" s="32"/>
    </row>
    <row r="466" spans="1:13" ht="60" x14ac:dyDescent="0.25">
      <c r="A466" s="164">
        <v>447</v>
      </c>
      <c r="B466" s="207"/>
      <c r="C466" s="160" t="s">
        <v>74</v>
      </c>
      <c r="D466" s="163" t="s">
        <v>75</v>
      </c>
      <c r="E466" s="112" t="s">
        <v>8</v>
      </c>
      <c r="F466" s="20">
        <v>5.84</v>
      </c>
      <c r="G466" s="20">
        <v>5.84</v>
      </c>
      <c r="H466" s="13" t="s">
        <v>196</v>
      </c>
      <c r="I466" s="35"/>
      <c r="J466" s="34"/>
      <c r="K466" s="34"/>
      <c r="L466" s="32"/>
      <c r="M466" s="32"/>
    </row>
    <row r="467" spans="1:13" ht="60" x14ac:dyDescent="0.25">
      <c r="A467" s="164">
        <v>448</v>
      </c>
      <c r="B467" s="207"/>
      <c r="C467" s="113" t="s">
        <v>76</v>
      </c>
      <c r="D467" s="179" t="s">
        <v>77</v>
      </c>
      <c r="E467" s="112" t="s">
        <v>8</v>
      </c>
      <c r="F467" s="20">
        <v>5.84</v>
      </c>
      <c r="G467" s="20">
        <v>5.84</v>
      </c>
      <c r="H467" s="13" t="s">
        <v>196</v>
      </c>
      <c r="I467" s="35"/>
      <c r="J467" s="34"/>
      <c r="K467" s="34"/>
      <c r="L467" s="32"/>
      <c r="M467" s="32"/>
    </row>
    <row r="468" spans="1:13" ht="75" x14ac:dyDescent="0.25">
      <c r="A468" s="164">
        <v>449</v>
      </c>
      <c r="B468" s="207" t="s">
        <v>134</v>
      </c>
      <c r="C468" s="12" t="s">
        <v>72</v>
      </c>
      <c r="D468" s="163" t="s">
        <v>73</v>
      </c>
      <c r="E468" s="112" t="s">
        <v>8</v>
      </c>
      <c r="F468" s="20">
        <f>0.55*0.55+0.8*2.1</f>
        <v>1.9825000000000002</v>
      </c>
      <c r="G468" s="20" t="s">
        <v>326</v>
      </c>
      <c r="H468" s="13" t="s">
        <v>196</v>
      </c>
      <c r="I468" s="35"/>
      <c r="J468" s="34"/>
      <c r="K468" s="34"/>
      <c r="L468" s="32"/>
      <c r="M468" s="32"/>
    </row>
    <row r="469" spans="1:13" ht="60" x14ac:dyDescent="0.25">
      <c r="A469" s="164">
        <v>450</v>
      </c>
      <c r="B469" s="207"/>
      <c r="C469" s="160" t="s">
        <v>74</v>
      </c>
      <c r="D469" s="163" t="s">
        <v>75</v>
      </c>
      <c r="E469" s="112" t="s">
        <v>8</v>
      </c>
      <c r="F469" s="20">
        <v>2.97</v>
      </c>
      <c r="G469" s="20">
        <v>2.97</v>
      </c>
      <c r="H469" s="13" t="s">
        <v>196</v>
      </c>
      <c r="I469" s="35"/>
      <c r="J469" s="34"/>
      <c r="K469" s="34"/>
      <c r="L469" s="32"/>
      <c r="M469" s="32"/>
    </row>
    <row r="470" spans="1:13" ht="60" x14ac:dyDescent="0.25">
      <c r="A470" s="164">
        <v>451</v>
      </c>
      <c r="B470" s="207"/>
      <c r="C470" s="113" t="s">
        <v>76</v>
      </c>
      <c r="D470" s="179" t="s">
        <v>77</v>
      </c>
      <c r="E470" s="112" t="s">
        <v>8</v>
      </c>
      <c r="F470" s="20">
        <v>2.97</v>
      </c>
      <c r="G470" s="20">
        <v>2.97</v>
      </c>
      <c r="H470" s="13" t="s">
        <v>196</v>
      </c>
      <c r="I470" s="35"/>
      <c r="J470" s="34"/>
      <c r="K470" s="34"/>
      <c r="L470" s="32"/>
      <c r="M470" s="32"/>
    </row>
    <row r="471" spans="1:13" ht="75" x14ac:dyDescent="0.25">
      <c r="A471" s="164">
        <v>452</v>
      </c>
      <c r="B471" s="207" t="s">
        <v>123</v>
      </c>
      <c r="C471" s="12" t="s">
        <v>72</v>
      </c>
      <c r="D471" s="163" t="s">
        <v>73</v>
      </c>
      <c r="E471" s="112" t="s">
        <v>8</v>
      </c>
      <c r="F471" s="20">
        <f>3*1.5*1.2+2*0.8*2.1</f>
        <v>8.76</v>
      </c>
      <c r="G471" s="20" t="s">
        <v>327</v>
      </c>
      <c r="H471" s="13" t="s">
        <v>196</v>
      </c>
      <c r="I471" s="35"/>
      <c r="J471" s="34"/>
      <c r="K471" s="34"/>
      <c r="L471" s="32"/>
      <c r="M471" s="32"/>
    </row>
    <row r="472" spans="1:13" ht="60" x14ac:dyDescent="0.25">
      <c r="A472" s="164">
        <v>453</v>
      </c>
      <c r="B472" s="207"/>
      <c r="C472" s="160" t="s">
        <v>74</v>
      </c>
      <c r="D472" s="163" t="s">
        <v>75</v>
      </c>
      <c r="E472" s="112" t="s">
        <v>8</v>
      </c>
      <c r="F472" s="20">
        <f>20.99</f>
        <v>20.99</v>
      </c>
      <c r="G472" s="20">
        <v>20.99</v>
      </c>
      <c r="H472" s="13" t="s">
        <v>196</v>
      </c>
      <c r="I472" s="35"/>
      <c r="J472" s="34"/>
      <c r="K472" s="34"/>
      <c r="L472" s="32"/>
      <c r="M472" s="32"/>
    </row>
    <row r="473" spans="1:13" ht="60" x14ac:dyDescent="0.25">
      <c r="A473" s="164">
        <v>454</v>
      </c>
      <c r="B473" s="207"/>
      <c r="C473" s="113" t="s">
        <v>76</v>
      </c>
      <c r="D473" s="179" t="s">
        <v>77</v>
      </c>
      <c r="E473" s="112" t="s">
        <v>8</v>
      </c>
      <c r="F473" s="20">
        <v>20.99</v>
      </c>
      <c r="G473" s="20">
        <v>20.99</v>
      </c>
      <c r="H473" s="13" t="s">
        <v>196</v>
      </c>
      <c r="I473" s="35"/>
      <c r="J473" s="34"/>
      <c r="K473" s="34"/>
      <c r="L473" s="32"/>
      <c r="M473" s="32"/>
    </row>
    <row r="474" spans="1:13" ht="45" x14ac:dyDescent="0.25">
      <c r="A474" s="164">
        <v>455</v>
      </c>
      <c r="B474" s="207" t="s">
        <v>125</v>
      </c>
      <c r="C474" s="12" t="s">
        <v>68</v>
      </c>
      <c r="D474" s="180" t="s">
        <v>69</v>
      </c>
      <c r="E474" s="112" t="s">
        <v>8</v>
      </c>
      <c r="F474" s="20">
        <f>14.55*3.3+2.7*3+3.75*3.15+1*(3+3.15)/2+5.85*(3.15+3.8)/2+1.5*(3.8+3)/2+14.94*3+8.14*3+8.14*1/2+6.39*(3.3+3)/2+14.35*3.3+15.4*3.6</f>
        <v>292.66474999999997</v>
      </c>
      <c r="G474" s="21" t="s">
        <v>328</v>
      </c>
      <c r="H474" s="13" t="s">
        <v>196</v>
      </c>
      <c r="I474" s="35"/>
      <c r="J474" s="34"/>
      <c r="K474" s="34"/>
      <c r="L474" s="32"/>
      <c r="M474" s="32"/>
    </row>
    <row r="475" spans="1:13" ht="60" x14ac:dyDescent="0.25">
      <c r="A475" s="164">
        <v>456</v>
      </c>
      <c r="B475" s="207"/>
      <c r="C475" s="12" t="s">
        <v>70</v>
      </c>
      <c r="D475" s="180" t="s">
        <v>71</v>
      </c>
      <c r="E475" s="112" t="s">
        <v>8</v>
      </c>
      <c r="F475" s="20">
        <f>F474</f>
        <v>292.66474999999997</v>
      </c>
      <c r="G475" s="21" t="str">
        <f>G474</f>
        <v>14,55*3,3+2,7*3+3,75*3,15+1*(3+3,15)/2+5,85*(3,15+3,8)/2+1,5*(3,8+3)/2+14,94*3+8,14*3+8,14*1/2+6,39*(3,3+3)/2+14,35*3,3+15,4*3,6</v>
      </c>
      <c r="H475" s="13" t="s">
        <v>196</v>
      </c>
      <c r="I475" s="35"/>
      <c r="J475" s="34"/>
      <c r="K475" s="34"/>
      <c r="L475" s="32"/>
      <c r="M475" s="32"/>
    </row>
    <row r="476" spans="1:13" ht="45" x14ac:dyDescent="0.25">
      <c r="A476" s="164">
        <v>457</v>
      </c>
      <c r="B476" s="207" t="s">
        <v>124</v>
      </c>
      <c r="C476" s="12" t="s">
        <v>68</v>
      </c>
      <c r="D476" s="180" t="s">
        <v>69</v>
      </c>
      <c r="E476" s="112" t="s">
        <v>8</v>
      </c>
      <c r="F476" s="20">
        <f>PO!F476</f>
        <v>319</v>
      </c>
      <c r="G476" s="20" t="s">
        <v>359</v>
      </c>
      <c r="H476" s="13" t="s">
        <v>196</v>
      </c>
      <c r="I476" s="35"/>
      <c r="J476" s="34"/>
      <c r="K476" s="34"/>
      <c r="L476" s="32"/>
      <c r="M476" s="32"/>
    </row>
    <row r="477" spans="1:13" ht="60" x14ac:dyDescent="0.25">
      <c r="A477" s="164">
        <v>458</v>
      </c>
      <c r="B477" s="207"/>
      <c r="C477" s="12" t="s">
        <v>70</v>
      </c>
      <c r="D477" s="180" t="s">
        <v>71</v>
      </c>
      <c r="E477" s="112" t="s">
        <v>8</v>
      </c>
      <c r="F477" s="20">
        <f>PO!F477</f>
        <v>319</v>
      </c>
      <c r="G477" s="20" t="str">
        <f>G476</f>
        <v>145*2,2</v>
      </c>
      <c r="H477" s="13" t="s">
        <v>196</v>
      </c>
      <c r="I477" s="35"/>
      <c r="J477" s="34"/>
      <c r="K477" s="34"/>
      <c r="L477" s="32"/>
      <c r="M477" s="32"/>
    </row>
    <row r="478" spans="1:13" ht="75" x14ac:dyDescent="0.25">
      <c r="A478" s="164">
        <v>459</v>
      </c>
      <c r="B478" s="207"/>
      <c r="C478" s="12" t="s">
        <v>72</v>
      </c>
      <c r="D478" s="163" t="s">
        <v>73</v>
      </c>
      <c r="E478" s="112" t="s">
        <v>8</v>
      </c>
      <c r="F478" s="20">
        <f>PO!F478</f>
        <v>6.6000000000000005</v>
      </c>
      <c r="G478" s="20" t="s">
        <v>360</v>
      </c>
      <c r="H478" s="13" t="s">
        <v>196</v>
      </c>
      <c r="I478" s="35"/>
      <c r="J478" s="34"/>
      <c r="K478" s="34"/>
      <c r="L478" s="32"/>
      <c r="M478" s="32"/>
    </row>
    <row r="479" spans="1:13" ht="45" customHeight="1" x14ac:dyDescent="0.25">
      <c r="A479" s="164">
        <v>460</v>
      </c>
      <c r="B479" s="208" t="s">
        <v>135</v>
      </c>
      <c r="C479" s="208"/>
      <c r="D479" s="208"/>
      <c r="E479" s="208"/>
      <c r="F479" s="208"/>
      <c r="G479" s="208"/>
      <c r="H479" s="208"/>
      <c r="I479" s="35"/>
      <c r="J479" s="34"/>
      <c r="K479" s="34"/>
      <c r="L479" s="32"/>
      <c r="M479" s="32"/>
    </row>
    <row r="480" spans="1:13" ht="45" customHeight="1" x14ac:dyDescent="0.25">
      <c r="A480" s="164">
        <v>461</v>
      </c>
      <c r="B480" s="112"/>
      <c r="C480" s="150" t="s">
        <v>155</v>
      </c>
      <c r="D480" s="176" t="s">
        <v>154</v>
      </c>
      <c r="E480" s="112" t="s">
        <v>8</v>
      </c>
      <c r="F480" s="112">
        <v>2.88</v>
      </c>
      <c r="G480" s="112">
        <v>2.88</v>
      </c>
      <c r="H480" s="13" t="s">
        <v>196</v>
      </c>
      <c r="I480" s="35"/>
      <c r="J480" s="34"/>
      <c r="K480" s="34"/>
      <c r="L480" s="32"/>
      <c r="M480" s="32"/>
    </row>
    <row r="481" spans="1:13" ht="75" x14ac:dyDescent="0.25">
      <c r="A481" s="164">
        <v>462</v>
      </c>
      <c r="B481" s="209" t="s">
        <v>104</v>
      </c>
      <c r="C481" s="112" t="s">
        <v>150</v>
      </c>
      <c r="D481" s="163" t="s">
        <v>147</v>
      </c>
      <c r="E481" s="112" t="s">
        <v>146</v>
      </c>
      <c r="F481" s="112">
        <v>4</v>
      </c>
      <c r="G481" s="112">
        <v>4</v>
      </c>
      <c r="H481" s="13" t="s">
        <v>224</v>
      </c>
      <c r="I481" s="35"/>
      <c r="J481" s="34"/>
      <c r="K481" s="34"/>
      <c r="L481" s="32"/>
      <c r="M481" s="32"/>
    </row>
    <row r="482" spans="1:13" ht="45" customHeight="1" x14ac:dyDescent="0.25">
      <c r="A482" s="164">
        <v>463</v>
      </c>
      <c r="B482" s="209"/>
      <c r="C482" s="112" t="s">
        <v>149</v>
      </c>
      <c r="D482" s="163" t="s">
        <v>148</v>
      </c>
      <c r="E482" s="112" t="s">
        <v>19</v>
      </c>
      <c r="F482" s="112">
        <v>4</v>
      </c>
      <c r="G482" s="112">
        <v>4</v>
      </c>
      <c r="H482" s="13" t="s">
        <v>224</v>
      </c>
      <c r="I482" s="35"/>
      <c r="J482" s="34"/>
      <c r="K482" s="34"/>
      <c r="L482" s="32"/>
      <c r="M482" s="32"/>
    </row>
    <row r="483" spans="1:13" ht="45" x14ac:dyDescent="0.25">
      <c r="A483" s="164">
        <v>464</v>
      </c>
      <c r="B483" s="207" t="s">
        <v>114</v>
      </c>
      <c r="C483" s="12" t="s">
        <v>68</v>
      </c>
      <c r="D483" s="180" t="s">
        <v>69</v>
      </c>
      <c r="E483" s="112" t="s">
        <v>8</v>
      </c>
      <c r="F483" s="20">
        <f>24.6*2.8-F485</f>
        <v>61.8</v>
      </c>
      <c r="G483" s="20" t="s">
        <v>329</v>
      </c>
      <c r="H483" s="13" t="s">
        <v>196</v>
      </c>
      <c r="I483" s="35"/>
      <c r="J483" s="34"/>
      <c r="K483" s="34"/>
      <c r="L483" s="32"/>
      <c r="M483" s="32"/>
    </row>
    <row r="484" spans="1:13" ht="60" x14ac:dyDescent="0.25">
      <c r="A484" s="164">
        <v>465</v>
      </c>
      <c r="B484" s="207"/>
      <c r="C484" s="12" t="s">
        <v>70</v>
      </c>
      <c r="D484" s="180" t="s">
        <v>71</v>
      </c>
      <c r="E484" s="112" t="s">
        <v>8</v>
      </c>
      <c r="F484" s="20">
        <f>F483</f>
        <v>61.8</v>
      </c>
      <c r="G484" s="20" t="str">
        <f>G483</f>
        <v>24,6*2,8-(3*1,5*1,2+0,8*2,1)</v>
      </c>
      <c r="H484" s="13" t="s">
        <v>196</v>
      </c>
      <c r="I484" s="35"/>
      <c r="J484" s="34"/>
      <c r="K484" s="34"/>
      <c r="L484" s="32"/>
      <c r="M484" s="32"/>
    </row>
    <row r="485" spans="1:13" ht="75" x14ac:dyDescent="0.25">
      <c r="A485" s="164">
        <v>466</v>
      </c>
      <c r="B485" s="207"/>
      <c r="C485" s="12" t="s">
        <v>72</v>
      </c>
      <c r="D485" s="163" t="s">
        <v>73</v>
      </c>
      <c r="E485" s="112" t="s">
        <v>8</v>
      </c>
      <c r="F485" s="20">
        <f>3*1.5*1.2+0.8*2.1</f>
        <v>7.08</v>
      </c>
      <c r="G485" s="20" t="s">
        <v>330</v>
      </c>
      <c r="H485" s="13" t="s">
        <v>196</v>
      </c>
      <c r="I485" s="35"/>
      <c r="J485" s="34"/>
      <c r="K485" s="34"/>
      <c r="L485" s="32"/>
      <c r="M485" s="32"/>
    </row>
    <row r="486" spans="1:13" ht="60" x14ac:dyDescent="0.25">
      <c r="A486" s="164">
        <v>467</v>
      </c>
      <c r="B486" s="207"/>
      <c r="C486" s="160" t="s">
        <v>74</v>
      </c>
      <c r="D486" s="163" t="s">
        <v>75</v>
      </c>
      <c r="E486" s="112" t="s">
        <v>8</v>
      </c>
      <c r="F486" s="20">
        <v>37.729999999999997</v>
      </c>
      <c r="G486" s="20">
        <v>37.729999999999997</v>
      </c>
      <c r="H486" s="13" t="s">
        <v>196</v>
      </c>
      <c r="I486" s="35"/>
      <c r="J486" s="34"/>
      <c r="K486" s="34"/>
      <c r="L486" s="32"/>
      <c r="M486" s="32"/>
    </row>
    <row r="487" spans="1:13" ht="60" x14ac:dyDescent="0.25">
      <c r="A487" s="164">
        <v>468</v>
      </c>
      <c r="B487" s="207"/>
      <c r="C487" s="113" t="s">
        <v>76</v>
      </c>
      <c r="D487" s="179" t="s">
        <v>77</v>
      </c>
      <c r="E487" s="112" t="s">
        <v>8</v>
      </c>
      <c r="F487" s="20">
        <v>37.729999999999997</v>
      </c>
      <c r="G487" s="20">
        <v>37.729999999999997</v>
      </c>
      <c r="H487" s="13" t="s">
        <v>196</v>
      </c>
      <c r="I487" s="35"/>
      <c r="J487" s="34"/>
      <c r="K487" s="34"/>
      <c r="L487" s="32"/>
      <c r="M487" s="32"/>
    </row>
    <row r="488" spans="1:13" ht="45" x14ac:dyDescent="0.25">
      <c r="A488" s="164">
        <v>469</v>
      </c>
      <c r="B488" s="207" t="s">
        <v>115</v>
      </c>
      <c r="C488" s="12" t="s">
        <v>68</v>
      </c>
      <c r="D488" s="180" t="s">
        <v>69</v>
      </c>
      <c r="E488" s="112" t="s">
        <v>8</v>
      </c>
      <c r="F488" s="20">
        <f>24.6*2.8-F490</f>
        <v>63.599999999999994</v>
      </c>
      <c r="G488" s="20" t="s">
        <v>331</v>
      </c>
      <c r="H488" s="13" t="s">
        <v>196</v>
      </c>
      <c r="I488" s="35"/>
      <c r="J488" s="34"/>
      <c r="K488" s="34"/>
      <c r="L488" s="32"/>
      <c r="M488" s="32"/>
    </row>
    <row r="489" spans="1:13" ht="60" x14ac:dyDescent="0.25">
      <c r="A489" s="164">
        <v>470</v>
      </c>
      <c r="B489" s="207"/>
      <c r="C489" s="12" t="s">
        <v>70</v>
      </c>
      <c r="D489" s="180" t="s">
        <v>71</v>
      </c>
      <c r="E489" s="112" t="s">
        <v>8</v>
      </c>
      <c r="F489" s="20">
        <f>F488</f>
        <v>63.599999999999994</v>
      </c>
      <c r="G489" s="20" t="str">
        <f>G488</f>
        <v>24,6*2,8-(2*1,5*1,2+0,8*2,1)</v>
      </c>
      <c r="H489" s="13" t="s">
        <v>196</v>
      </c>
      <c r="I489" s="35"/>
      <c r="J489" s="34"/>
      <c r="K489" s="34"/>
      <c r="L489" s="32"/>
      <c r="M489" s="32"/>
    </row>
    <row r="490" spans="1:13" ht="75" x14ac:dyDescent="0.25">
      <c r="A490" s="164">
        <v>471</v>
      </c>
      <c r="B490" s="207"/>
      <c r="C490" s="12" t="s">
        <v>72</v>
      </c>
      <c r="D490" s="163" t="s">
        <v>73</v>
      </c>
      <c r="E490" s="112" t="s">
        <v>8</v>
      </c>
      <c r="F490" s="20">
        <f>2*1.5*1.2+0.8*2.1</f>
        <v>5.2799999999999994</v>
      </c>
      <c r="G490" s="20" t="s">
        <v>265</v>
      </c>
      <c r="H490" s="13" t="s">
        <v>196</v>
      </c>
      <c r="I490" s="35"/>
      <c r="J490" s="34"/>
      <c r="K490" s="34"/>
      <c r="L490" s="32"/>
      <c r="M490" s="32"/>
    </row>
    <row r="491" spans="1:13" ht="60" x14ac:dyDescent="0.25">
      <c r="A491" s="164">
        <v>472</v>
      </c>
      <c r="B491" s="207"/>
      <c r="C491" s="160" t="s">
        <v>74</v>
      </c>
      <c r="D491" s="163" t="s">
        <v>75</v>
      </c>
      <c r="E491" s="112" t="s">
        <v>8</v>
      </c>
      <c r="F491" s="20">
        <v>37.729999999999997</v>
      </c>
      <c r="G491" s="20">
        <v>37.729999999999997</v>
      </c>
      <c r="H491" s="13" t="s">
        <v>196</v>
      </c>
      <c r="I491" s="35"/>
      <c r="J491" s="34"/>
      <c r="K491" s="34"/>
      <c r="L491" s="32"/>
      <c r="M491" s="32"/>
    </row>
    <row r="492" spans="1:13" ht="60" x14ac:dyDescent="0.25">
      <c r="A492" s="164">
        <v>473</v>
      </c>
      <c r="B492" s="207"/>
      <c r="C492" s="113" t="s">
        <v>76</v>
      </c>
      <c r="D492" s="179" t="s">
        <v>77</v>
      </c>
      <c r="E492" s="112" t="s">
        <v>8</v>
      </c>
      <c r="F492" s="20">
        <v>37.729999999999997</v>
      </c>
      <c r="G492" s="20">
        <v>37.729999999999997</v>
      </c>
      <c r="H492" s="13" t="s">
        <v>196</v>
      </c>
      <c r="I492" s="35"/>
      <c r="J492" s="34"/>
      <c r="K492" s="34"/>
      <c r="L492" s="32"/>
      <c r="M492" s="32"/>
    </row>
    <row r="493" spans="1:13" ht="45" x14ac:dyDescent="0.25">
      <c r="A493" s="164">
        <v>474</v>
      </c>
      <c r="B493" s="207" t="s">
        <v>103</v>
      </c>
      <c r="C493" s="12" t="s">
        <v>68</v>
      </c>
      <c r="D493" s="180" t="s">
        <v>69</v>
      </c>
      <c r="E493" s="112" t="s">
        <v>8</v>
      </c>
      <c r="F493" s="20">
        <f>24.6*2.8-F495</f>
        <v>61.919999999999995</v>
      </c>
      <c r="G493" s="20" t="s">
        <v>332</v>
      </c>
      <c r="H493" s="13" t="s">
        <v>196</v>
      </c>
      <c r="I493" s="35"/>
      <c r="J493" s="34"/>
      <c r="K493" s="34"/>
      <c r="L493" s="32"/>
      <c r="M493" s="32"/>
    </row>
    <row r="494" spans="1:13" ht="60" x14ac:dyDescent="0.25">
      <c r="A494" s="164">
        <v>475</v>
      </c>
      <c r="B494" s="207"/>
      <c r="C494" s="12" t="s">
        <v>70</v>
      </c>
      <c r="D494" s="180" t="s">
        <v>71</v>
      </c>
      <c r="E494" s="112" t="s">
        <v>8</v>
      </c>
      <c r="F494" s="20">
        <f>F493</f>
        <v>61.919999999999995</v>
      </c>
      <c r="G494" s="20" t="str">
        <f>G493</f>
        <v>24,6*2,8-(2*1,5*1,2+2*0,8*2,1)</v>
      </c>
      <c r="H494" s="13" t="s">
        <v>196</v>
      </c>
      <c r="I494" s="35"/>
      <c r="J494" s="34"/>
      <c r="K494" s="34"/>
      <c r="L494" s="32"/>
      <c r="M494" s="32"/>
    </row>
    <row r="495" spans="1:13" ht="75" x14ac:dyDescent="0.25">
      <c r="A495" s="164">
        <v>476</v>
      </c>
      <c r="B495" s="207"/>
      <c r="C495" s="12" t="s">
        <v>72</v>
      </c>
      <c r="D495" s="163" t="s">
        <v>73</v>
      </c>
      <c r="E495" s="112" t="s">
        <v>8</v>
      </c>
      <c r="F495" s="20">
        <f>2*1.5*1.2+2*0.8*2.1</f>
        <v>6.96</v>
      </c>
      <c r="G495" s="20" t="s">
        <v>333</v>
      </c>
      <c r="H495" s="13" t="s">
        <v>196</v>
      </c>
      <c r="I495" s="35"/>
      <c r="J495" s="34"/>
      <c r="K495" s="34"/>
      <c r="L495" s="32"/>
      <c r="M495" s="32"/>
    </row>
    <row r="496" spans="1:13" ht="60" x14ac:dyDescent="0.25">
      <c r="A496" s="164">
        <v>477</v>
      </c>
      <c r="B496" s="207"/>
      <c r="C496" s="160" t="s">
        <v>74</v>
      </c>
      <c r="D496" s="163" t="s">
        <v>75</v>
      </c>
      <c r="E496" s="112" t="s">
        <v>8</v>
      </c>
      <c r="F496" s="20">
        <v>37.729999999999997</v>
      </c>
      <c r="G496" s="20">
        <v>37.729999999999997</v>
      </c>
      <c r="H496" s="13" t="s">
        <v>196</v>
      </c>
      <c r="I496" s="35"/>
      <c r="J496" s="34"/>
      <c r="K496" s="34"/>
      <c r="L496" s="32"/>
      <c r="M496" s="32"/>
    </row>
    <row r="497" spans="1:13" ht="60" x14ac:dyDescent="0.25">
      <c r="A497" s="164">
        <v>478</v>
      </c>
      <c r="B497" s="207"/>
      <c r="C497" s="113" t="s">
        <v>76</v>
      </c>
      <c r="D497" s="179" t="s">
        <v>77</v>
      </c>
      <c r="E497" s="112" t="s">
        <v>8</v>
      </c>
      <c r="F497" s="20">
        <v>37.729999999999997</v>
      </c>
      <c r="G497" s="20">
        <v>37.729999999999997</v>
      </c>
      <c r="H497" s="13" t="s">
        <v>196</v>
      </c>
      <c r="I497" s="35"/>
      <c r="J497" s="34"/>
      <c r="K497" s="34"/>
      <c r="L497" s="32"/>
      <c r="M497" s="32"/>
    </row>
    <row r="498" spans="1:13" ht="45" x14ac:dyDescent="0.25">
      <c r="A498" s="164">
        <v>479</v>
      </c>
      <c r="B498" s="207" t="s">
        <v>116</v>
      </c>
      <c r="C498" s="12" t="s">
        <v>68</v>
      </c>
      <c r="D498" s="180" t="s">
        <v>69</v>
      </c>
      <c r="E498" s="112" t="s">
        <v>8</v>
      </c>
      <c r="F498" s="20">
        <f>19.9*2.8-F500</f>
        <v>50.439999999999991</v>
      </c>
      <c r="G498" s="20" t="s">
        <v>334</v>
      </c>
      <c r="H498" s="13" t="s">
        <v>196</v>
      </c>
      <c r="I498" s="35"/>
      <c r="J498" s="34"/>
      <c r="K498" s="34"/>
      <c r="L498" s="32"/>
      <c r="M498" s="32"/>
    </row>
    <row r="499" spans="1:13" ht="60" x14ac:dyDescent="0.25">
      <c r="A499" s="164">
        <v>480</v>
      </c>
      <c r="B499" s="207"/>
      <c r="C499" s="12" t="s">
        <v>70</v>
      </c>
      <c r="D499" s="180" t="s">
        <v>71</v>
      </c>
      <c r="E499" s="112" t="s">
        <v>8</v>
      </c>
      <c r="F499" s="20">
        <f>F498</f>
        <v>50.439999999999991</v>
      </c>
      <c r="G499" s="20" t="str">
        <f>G498</f>
        <v>19,9*2,8-(2*1,5*1,2+0,8*2,1)</v>
      </c>
      <c r="H499" s="13" t="s">
        <v>196</v>
      </c>
      <c r="I499" s="35"/>
      <c r="J499" s="34"/>
      <c r="K499" s="34"/>
      <c r="L499" s="32"/>
      <c r="M499" s="32"/>
    </row>
    <row r="500" spans="1:13" ht="75" x14ac:dyDescent="0.25">
      <c r="A500" s="164">
        <v>481</v>
      </c>
      <c r="B500" s="207"/>
      <c r="C500" s="12" t="s">
        <v>72</v>
      </c>
      <c r="D500" s="163" t="s">
        <v>73</v>
      </c>
      <c r="E500" s="112" t="s">
        <v>8</v>
      </c>
      <c r="F500" s="20">
        <f>2*1.5*1.2+0.8*2.1</f>
        <v>5.2799999999999994</v>
      </c>
      <c r="G500" s="20" t="s">
        <v>265</v>
      </c>
      <c r="H500" s="13" t="s">
        <v>196</v>
      </c>
      <c r="I500" s="35"/>
      <c r="J500" s="34"/>
      <c r="K500" s="34"/>
      <c r="L500" s="32"/>
      <c r="M500" s="32"/>
    </row>
    <row r="501" spans="1:13" ht="60" x14ac:dyDescent="0.25">
      <c r="A501" s="164">
        <v>482</v>
      </c>
      <c r="B501" s="207"/>
      <c r="C501" s="160" t="s">
        <v>74</v>
      </c>
      <c r="D501" s="163" t="s">
        <v>75</v>
      </c>
      <c r="E501" s="112" t="s">
        <v>8</v>
      </c>
      <c r="F501" s="20">
        <v>18.13</v>
      </c>
      <c r="G501" s="20">
        <v>18.13</v>
      </c>
      <c r="H501" s="13" t="s">
        <v>196</v>
      </c>
      <c r="I501" s="35"/>
      <c r="J501" s="34"/>
      <c r="K501" s="34"/>
      <c r="L501" s="32"/>
      <c r="M501" s="32"/>
    </row>
    <row r="502" spans="1:13" ht="60" x14ac:dyDescent="0.25">
      <c r="A502" s="164">
        <v>483</v>
      </c>
      <c r="B502" s="207"/>
      <c r="C502" s="113" t="s">
        <v>76</v>
      </c>
      <c r="D502" s="179" t="s">
        <v>77</v>
      </c>
      <c r="E502" s="112" t="s">
        <v>8</v>
      </c>
      <c r="F502" s="20">
        <v>18.13</v>
      </c>
      <c r="G502" s="20">
        <v>18.13</v>
      </c>
      <c r="H502" s="13" t="s">
        <v>196</v>
      </c>
      <c r="I502" s="35"/>
      <c r="J502" s="34"/>
      <c r="K502" s="34"/>
      <c r="L502" s="32"/>
      <c r="M502" s="32"/>
    </row>
    <row r="503" spans="1:13" ht="45" x14ac:dyDescent="0.25">
      <c r="A503" s="164">
        <v>484</v>
      </c>
      <c r="B503" s="207" t="s">
        <v>117</v>
      </c>
      <c r="C503" s="12" t="s">
        <v>68</v>
      </c>
      <c r="D503" s="180" t="s">
        <v>69</v>
      </c>
      <c r="E503" s="112" t="s">
        <v>8</v>
      </c>
      <c r="F503" s="20">
        <f>28*2.8-F505</f>
        <v>69.52</v>
      </c>
      <c r="G503" s="20" t="s">
        <v>335</v>
      </c>
      <c r="H503" s="13" t="s">
        <v>196</v>
      </c>
      <c r="I503" s="35"/>
      <c r="J503" s="34"/>
      <c r="K503" s="34"/>
      <c r="L503" s="32"/>
      <c r="M503" s="32"/>
    </row>
    <row r="504" spans="1:13" ht="60" x14ac:dyDescent="0.25">
      <c r="A504" s="164">
        <v>485</v>
      </c>
      <c r="B504" s="207"/>
      <c r="C504" s="12" t="s">
        <v>70</v>
      </c>
      <c r="D504" s="180" t="s">
        <v>71</v>
      </c>
      <c r="E504" s="112" t="s">
        <v>8</v>
      </c>
      <c r="F504" s="20">
        <f>F503</f>
        <v>69.52</v>
      </c>
      <c r="G504" s="20" t="str">
        <f>G503</f>
        <v>28*2,8-(4*1,5*1,2+0,8*2,1)</v>
      </c>
      <c r="H504" s="13" t="s">
        <v>196</v>
      </c>
      <c r="I504" s="35"/>
      <c r="J504" s="34"/>
      <c r="K504" s="34"/>
      <c r="L504" s="32"/>
      <c r="M504" s="32"/>
    </row>
    <row r="505" spans="1:13" ht="75" x14ac:dyDescent="0.25">
      <c r="A505" s="164">
        <v>486</v>
      </c>
      <c r="B505" s="207"/>
      <c r="C505" s="12" t="s">
        <v>72</v>
      </c>
      <c r="D505" s="163" t="s">
        <v>73</v>
      </c>
      <c r="E505" s="112" t="s">
        <v>8</v>
      </c>
      <c r="F505" s="20">
        <f>4*1.5*1.2+0.8*2.1</f>
        <v>8.879999999999999</v>
      </c>
      <c r="G505" s="20" t="s">
        <v>336</v>
      </c>
      <c r="H505" s="13" t="s">
        <v>196</v>
      </c>
      <c r="I505" s="35"/>
      <c r="J505" s="34"/>
      <c r="K505" s="34"/>
      <c r="L505" s="32"/>
      <c r="M505" s="32"/>
    </row>
    <row r="506" spans="1:13" ht="60" x14ac:dyDescent="0.25">
      <c r="A506" s="164">
        <v>487</v>
      </c>
      <c r="B506" s="207"/>
      <c r="C506" s="160" t="s">
        <v>74</v>
      </c>
      <c r="D506" s="163" t="s">
        <v>75</v>
      </c>
      <c r="E506" s="112" t="s">
        <v>8</v>
      </c>
      <c r="F506" s="20">
        <v>45.19</v>
      </c>
      <c r="G506" s="20">
        <v>45.19</v>
      </c>
      <c r="H506" s="13" t="s">
        <v>196</v>
      </c>
      <c r="I506" s="35"/>
      <c r="J506" s="34"/>
      <c r="K506" s="34"/>
      <c r="L506" s="32"/>
      <c r="M506" s="32"/>
    </row>
    <row r="507" spans="1:13" ht="60" x14ac:dyDescent="0.25">
      <c r="A507" s="164">
        <v>488</v>
      </c>
      <c r="B507" s="207"/>
      <c r="C507" s="113" t="s">
        <v>76</v>
      </c>
      <c r="D507" s="179" t="s">
        <v>77</v>
      </c>
      <c r="E507" s="112" t="s">
        <v>8</v>
      </c>
      <c r="F507" s="20">
        <v>45.19</v>
      </c>
      <c r="G507" s="20">
        <v>45.19</v>
      </c>
      <c r="H507" s="13" t="s">
        <v>196</v>
      </c>
      <c r="I507" s="35"/>
      <c r="J507" s="34"/>
      <c r="K507" s="34"/>
      <c r="L507" s="32"/>
      <c r="M507" s="32"/>
    </row>
    <row r="508" spans="1:13" ht="45" x14ac:dyDescent="0.25">
      <c r="A508" s="164">
        <v>489</v>
      </c>
      <c r="B508" s="207" t="s">
        <v>118</v>
      </c>
      <c r="C508" s="12" t="s">
        <v>68</v>
      </c>
      <c r="D508" s="180" t="s">
        <v>69</v>
      </c>
      <c r="E508" s="112" t="s">
        <v>8</v>
      </c>
      <c r="F508" s="20">
        <f>24.5*2.8-F510</f>
        <v>63.319999999999993</v>
      </c>
      <c r="G508" s="20" t="s">
        <v>337</v>
      </c>
      <c r="H508" s="13" t="s">
        <v>196</v>
      </c>
      <c r="I508" s="35"/>
      <c r="J508" s="34"/>
      <c r="K508" s="34"/>
      <c r="L508" s="32"/>
      <c r="M508" s="32"/>
    </row>
    <row r="509" spans="1:13" ht="60" x14ac:dyDescent="0.25">
      <c r="A509" s="164">
        <v>490</v>
      </c>
      <c r="B509" s="207"/>
      <c r="C509" s="12" t="s">
        <v>70</v>
      </c>
      <c r="D509" s="180" t="s">
        <v>71</v>
      </c>
      <c r="E509" s="112" t="s">
        <v>8</v>
      </c>
      <c r="F509" s="20">
        <f>F508</f>
        <v>63.319999999999993</v>
      </c>
      <c r="G509" s="20" t="str">
        <f>G508</f>
        <v>24,5*2,8-(2*1,5*1,2+0,8*2,1)</v>
      </c>
      <c r="H509" s="13" t="s">
        <v>196</v>
      </c>
      <c r="I509" s="35"/>
      <c r="J509" s="34"/>
      <c r="K509" s="34"/>
      <c r="L509" s="32"/>
      <c r="M509" s="32"/>
    </row>
    <row r="510" spans="1:13" ht="75" x14ac:dyDescent="0.25">
      <c r="A510" s="164">
        <v>491</v>
      </c>
      <c r="B510" s="207"/>
      <c r="C510" s="12" t="s">
        <v>72</v>
      </c>
      <c r="D510" s="163" t="s">
        <v>73</v>
      </c>
      <c r="E510" s="112" t="s">
        <v>8</v>
      </c>
      <c r="F510" s="20">
        <f>2*1.5*1.2+0.8*2.1</f>
        <v>5.2799999999999994</v>
      </c>
      <c r="G510" s="20" t="s">
        <v>265</v>
      </c>
      <c r="H510" s="13" t="s">
        <v>196</v>
      </c>
      <c r="I510" s="35"/>
      <c r="J510" s="34"/>
      <c r="K510" s="34"/>
      <c r="L510" s="32"/>
      <c r="M510" s="32"/>
    </row>
    <row r="511" spans="1:13" ht="60" x14ac:dyDescent="0.25">
      <c r="A511" s="164">
        <v>492</v>
      </c>
      <c r="B511" s="207"/>
      <c r="C511" s="160" t="s">
        <v>74</v>
      </c>
      <c r="D511" s="163" t="s">
        <v>75</v>
      </c>
      <c r="E511" s="112" t="s">
        <v>8</v>
      </c>
      <c r="F511" s="20">
        <v>37.409999999999997</v>
      </c>
      <c r="G511" s="20">
        <v>37.409999999999997</v>
      </c>
      <c r="H511" s="13" t="s">
        <v>196</v>
      </c>
      <c r="I511" s="35"/>
      <c r="J511" s="34"/>
      <c r="K511" s="34"/>
      <c r="L511" s="32"/>
      <c r="M511" s="32"/>
    </row>
    <row r="512" spans="1:13" ht="60" x14ac:dyDescent="0.25">
      <c r="A512" s="164">
        <v>493</v>
      </c>
      <c r="B512" s="207"/>
      <c r="C512" s="113" t="s">
        <v>76</v>
      </c>
      <c r="D512" s="179" t="s">
        <v>77</v>
      </c>
      <c r="E512" s="112" t="s">
        <v>8</v>
      </c>
      <c r="F512" s="20">
        <v>37.409999999999997</v>
      </c>
      <c r="G512" s="20">
        <v>37.409999999999997</v>
      </c>
      <c r="H512" s="13" t="s">
        <v>196</v>
      </c>
      <c r="I512" s="35"/>
      <c r="J512" s="34"/>
      <c r="K512" s="34"/>
      <c r="L512" s="32"/>
      <c r="M512" s="32"/>
    </row>
    <row r="513" spans="1:13" ht="45" x14ac:dyDescent="0.25">
      <c r="A513" s="164">
        <v>494</v>
      </c>
      <c r="B513" s="207" t="s">
        <v>126</v>
      </c>
      <c r="C513" s="12" t="s">
        <v>68</v>
      </c>
      <c r="D513" s="180" t="s">
        <v>69</v>
      </c>
      <c r="E513" s="112" t="s">
        <v>8</v>
      </c>
      <c r="F513" s="20">
        <f>24.5*2.8-F515</f>
        <v>63.319999999999993</v>
      </c>
      <c r="G513" s="20" t="s">
        <v>337</v>
      </c>
      <c r="H513" s="13" t="s">
        <v>196</v>
      </c>
      <c r="I513" s="35"/>
      <c r="J513" s="34"/>
      <c r="K513" s="34"/>
      <c r="L513" s="32"/>
      <c r="M513" s="32"/>
    </row>
    <row r="514" spans="1:13" ht="60" x14ac:dyDescent="0.25">
      <c r="A514" s="164">
        <v>495</v>
      </c>
      <c r="B514" s="207"/>
      <c r="C514" s="12" t="s">
        <v>70</v>
      </c>
      <c r="D514" s="180" t="s">
        <v>71</v>
      </c>
      <c r="E514" s="112" t="s">
        <v>8</v>
      </c>
      <c r="F514" s="20">
        <f>F513</f>
        <v>63.319999999999993</v>
      </c>
      <c r="G514" s="20" t="str">
        <f>G513</f>
        <v>24,5*2,8-(2*1,5*1,2+0,8*2,1)</v>
      </c>
      <c r="H514" s="13" t="s">
        <v>196</v>
      </c>
      <c r="I514" s="35"/>
      <c r="J514" s="34"/>
      <c r="K514" s="34"/>
      <c r="L514" s="32"/>
      <c r="M514" s="32"/>
    </row>
    <row r="515" spans="1:13" ht="75" x14ac:dyDescent="0.25">
      <c r="A515" s="164">
        <v>496</v>
      </c>
      <c r="B515" s="207"/>
      <c r="C515" s="12" t="s">
        <v>72</v>
      </c>
      <c r="D515" s="163" t="s">
        <v>73</v>
      </c>
      <c r="E515" s="112" t="s">
        <v>8</v>
      </c>
      <c r="F515" s="20">
        <f>2*1.5*1.2+0.8*2.1</f>
        <v>5.2799999999999994</v>
      </c>
      <c r="G515" s="20" t="s">
        <v>265</v>
      </c>
      <c r="H515" s="13" t="s">
        <v>196</v>
      </c>
      <c r="I515" s="35"/>
      <c r="J515" s="34"/>
      <c r="K515" s="34"/>
      <c r="L515" s="32"/>
      <c r="M515" s="32"/>
    </row>
    <row r="516" spans="1:13" ht="60" x14ac:dyDescent="0.25">
      <c r="A516" s="164">
        <v>497</v>
      </c>
      <c r="B516" s="207"/>
      <c r="C516" s="160" t="s">
        <v>74</v>
      </c>
      <c r="D516" s="163" t="s">
        <v>75</v>
      </c>
      <c r="E516" s="112" t="s">
        <v>8</v>
      </c>
      <c r="F516" s="20">
        <v>37.409999999999997</v>
      </c>
      <c r="G516" s="20">
        <v>37.409999999999997</v>
      </c>
      <c r="H516" s="13" t="s">
        <v>196</v>
      </c>
      <c r="I516" s="35"/>
      <c r="J516" s="34"/>
      <c r="K516" s="34"/>
      <c r="L516" s="32"/>
      <c r="M516" s="32"/>
    </row>
    <row r="517" spans="1:13" ht="60" x14ac:dyDescent="0.25">
      <c r="A517" s="164">
        <v>498</v>
      </c>
      <c r="B517" s="207"/>
      <c r="C517" s="113" t="s">
        <v>76</v>
      </c>
      <c r="D517" s="179" t="s">
        <v>77</v>
      </c>
      <c r="E517" s="112" t="s">
        <v>8</v>
      </c>
      <c r="F517" s="20">
        <v>37.409999999999997</v>
      </c>
      <c r="G517" s="20">
        <v>37.409999999999997</v>
      </c>
      <c r="H517" s="13" t="s">
        <v>196</v>
      </c>
      <c r="I517" s="35"/>
      <c r="J517" s="34"/>
      <c r="K517" s="34"/>
      <c r="L517" s="32"/>
      <c r="M517" s="32"/>
    </row>
    <row r="518" spans="1:13" ht="45" x14ac:dyDescent="0.25">
      <c r="A518" s="164">
        <v>499</v>
      </c>
      <c r="B518" s="207" t="s">
        <v>127</v>
      </c>
      <c r="C518" s="12" t="s">
        <v>68</v>
      </c>
      <c r="D518" s="180" t="s">
        <v>69</v>
      </c>
      <c r="E518" s="112" t="s">
        <v>8</v>
      </c>
      <c r="F518" s="20">
        <f>24.5*2.8-F520</f>
        <v>61.519999999999996</v>
      </c>
      <c r="G518" s="20" t="s">
        <v>338</v>
      </c>
      <c r="H518" s="13" t="s">
        <v>196</v>
      </c>
      <c r="I518" s="35"/>
      <c r="J518" s="34"/>
      <c r="K518" s="34"/>
      <c r="L518" s="32"/>
      <c r="M518" s="32"/>
    </row>
    <row r="519" spans="1:13" ht="60" x14ac:dyDescent="0.25">
      <c r="A519" s="164">
        <v>500</v>
      </c>
      <c r="B519" s="207"/>
      <c r="C519" s="12" t="s">
        <v>70</v>
      </c>
      <c r="D519" s="180" t="s">
        <v>71</v>
      </c>
      <c r="E519" s="112" t="s">
        <v>8</v>
      </c>
      <c r="F519" s="20">
        <f>F518</f>
        <v>61.519999999999996</v>
      </c>
      <c r="G519" s="20" t="str">
        <f>G518</f>
        <v>24,5*2,8-(3*1,5*1,2+0,8*2,1)</v>
      </c>
      <c r="H519" s="13" t="s">
        <v>196</v>
      </c>
      <c r="I519" s="35"/>
      <c r="J519" s="34"/>
      <c r="K519" s="34"/>
      <c r="L519" s="32"/>
      <c r="M519" s="32"/>
    </row>
    <row r="520" spans="1:13" ht="75" x14ac:dyDescent="0.25">
      <c r="A520" s="164">
        <v>501</v>
      </c>
      <c r="B520" s="207"/>
      <c r="C520" s="12" t="s">
        <v>72</v>
      </c>
      <c r="D520" s="163" t="s">
        <v>73</v>
      </c>
      <c r="E520" s="112" t="s">
        <v>8</v>
      </c>
      <c r="F520" s="20">
        <f>3*1.5*1.2+0.8*2.1</f>
        <v>7.08</v>
      </c>
      <c r="G520" s="20" t="s">
        <v>330</v>
      </c>
      <c r="H520" s="13" t="s">
        <v>196</v>
      </c>
      <c r="I520" s="35"/>
      <c r="J520" s="34"/>
      <c r="K520" s="34"/>
      <c r="L520" s="32"/>
      <c r="M520" s="32"/>
    </row>
    <row r="521" spans="1:13" ht="60" x14ac:dyDescent="0.25">
      <c r="A521" s="164">
        <v>502</v>
      </c>
      <c r="B521" s="207"/>
      <c r="C521" s="160" t="s">
        <v>74</v>
      </c>
      <c r="D521" s="163" t="s">
        <v>75</v>
      </c>
      <c r="E521" s="112" t="s">
        <v>8</v>
      </c>
      <c r="F521" s="20">
        <v>37.409999999999997</v>
      </c>
      <c r="G521" s="20">
        <v>37.409999999999997</v>
      </c>
      <c r="H521" s="13" t="s">
        <v>196</v>
      </c>
      <c r="I521" s="35"/>
      <c r="J521" s="34"/>
      <c r="K521" s="34"/>
      <c r="L521" s="32"/>
      <c r="M521" s="32"/>
    </row>
    <row r="522" spans="1:13" ht="60" x14ac:dyDescent="0.25">
      <c r="A522" s="164">
        <v>503</v>
      </c>
      <c r="B522" s="207"/>
      <c r="C522" s="113" t="s">
        <v>76</v>
      </c>
      <c r="D522" s="179" t="s">
        <v>77</v>
      </c>
      <c r="E522" s="112" t="s">
        <v>8</v>
      </c>
      <c r="F522" s="20">
        <v>37.409999999999997</v>
      </c>
      <c r="G522" s="20">
        <v>37.409999999999997</v>
      </c>
      <c r="H522" s="13" t="s">
        <v>196</v>
      </c>
      <c r="I522" s="35"/>
      <c r="J522" s="34"/>
      <c r="K522" s="34"/>
      <c r="L522" s="32"/>
      <c r="M522" s="32"/>
    </row>
    <row r="523" spans="1:13" ht="45" x14ac:dyDescent="0.25">
      <c r="A523" s="164">
        <v>504</v>
      </c>
      <c r="B523" s="207" t="s">
        <v>128</v>
      </c>
      <c r="C523" s="12" t="s">
        <v>68</v>
      </c>
      <c r="D523" s="180" t="s">
        <v>69</v>
      </c>
      <c r="E523" s="112" t="s">
        <v>8</v>
      </c>
      <c r="F523" s="20">
        <f>13.4*2.8-F525</f>
        <v>32.779999999999994</v>
      </c>
      <c r="G523" s="20" t="s">
        <v>339</v>
      </c>
      <c r="H523" s="13" t="s">
        <v>196</v>
      </c>
      <c r="I523" s="35"/>
      <c r="J523" s="34"/>
      <c r="K523" s="34"/>
      <c r="L523" s="32"/>
      <c r="M523" s="32"/>
    </row>
    <row r="524" spans="1:13" ht="60" x14ac:dyDescent="0.25">
      <c r="A524" s="164">
        <v>505</v>
      </c>
      <c r="B524" s="207"/>
      <c r="C524" s="12" t="s">
        <v>70</v>
      </c>
      <c r="D524" s="180" t="s">
        <v>71</v>
      </c>
      <c r="E524" s="112" t="s">
        <v>8</v>
      </c>
      <c r="F524" s="20">
        <f>F523</f>
        <v>32.779999999999994</v>
      </c>
      <c r="G524" s="20" t="str">
        <f>G523</f>
        <v>13,4*2,8-(1,5*1,2+0,8*2,1+0,6*2,1)</v>
      </c>
      <c r="H524" s="13" t="s">
        <v>196</v>
      </c>
      <c r="I524" s="35"/>
      <c r="J524" s="34"/>
      <c r="K524" s="34"/>
      <c r="L524" s="32"/>
      <c r="M524" s="32"/>
    </row>
    <row r="525" spans="1:13" ht="75" x14ac:dyDescent="0.25">
      <c r="A525" s="164">
        <v>506</v>
      </c>
      <c r="B525" s="207"/>
      <c r="C525" s="12" t="s">
        <v>72</v>
      </c>
      <c r="D525" s="163" t="s">
        <v>73</v>
      </c>
      <c r="E525" s="112" t="s">
        <v>8</v>
      </c>
      <c r="F525" s="20">
        <f>1.5*1.2+0.8*2.1+0.6*2.1</f>
        <v>4.74</v>
      </c>
      <c r="G525" s="20" t="s">
        <v>340</v>
      </c>
      <c r="H525" s="13" t="s">
        <v>196</v>
      </c>
      <c r="I525" s="35"/>
      <c r="J525" s="34"/>
      <c r="K525" s="34"/>
      <c r="L525" s="32"/>
      <c r="M525" s="32"/>
    </row>
    <row r="526" spans="1:13" ht="60" x14ac:dyDescent="0.25">
      <c r="A526" s="164">
        <v>507</v>
      </c>
      <c r="B526" s="207"/>
      <c r="C526" s="160" t="s">
        <v>74</v>
      </c>
      <c r="D526" s="163" t="s">
        <v>75</v>
      </c>
      <c r="E526" s="112" t="s">
        <v>8</v>
      </c>
      <c r="F526" s="20">
        <v>11.06</v>
      </c>
      <c r="G526" s="20">
        <v>11.06</v>
      </c>
      <c r="H526" s="13" t="s">
        <v>196</v>
      </c>
      <c r="I526" s="35"/>
      <c r="J526" s="34"/>
      <c r="K526" s="34"/>
      <c r="L526" s="32"/>
      <c r="M526" s="32"/>
    </row>
    <row r="527" spans="1:13" ht="60" x14ac:dyDescent="0.25">
      <c r="A527" s="164">
        <v>508</v>
      </c>
      <c r="B527" s="207"/>
      <c r="C527" s="113" t="s">
        <v>76</v>
      </c>
      <c r="D527" s="179" t="s">
        <v>77</v>
      </c>
      <c r="E527" s="112" t="s">
        <v>8</v>
      </c>
      <c r="F527" s="20">
        <v>11.06</v>
      </c>
      <c r="G527" s="20">
        <v>11.06</v>
      </c>
      <c r="H527" s="13" t="s">
        <v>196</v>
      </c>
      <c r="I527" s="35"/>
      <c r="J527" s="34"/>
      <c r="K527" s="34"/>
      <c r="L527" s="32"/>
      <c r="M527" s="32"/>
    </row>
    <row r="528" spans="1:13" ht="45" x14ac:dyDescent="0.25">
      <c r="A528" s="164">
        <v>509</v>
      </c>
      <c r="B528" s="207" t="s">
        <v>129</v>
      </c>
      <c r="C528" s="12" t="s">
        <v>68</v>
      </c>
      <c r="D528" s="180" t="s">
        <v>69</v>
      </c>
      <c r="E528" s="112" t="s">
        <v>8</v>
      </c>
      <c r="F528" s="20">
        <f>16.8*2.8-F530</f>
        <v>42.3</v>
      </c>
      <c r="G528" s="20" t="s">
        <v>341</v>
      </c>
      <c r="H528" s="13" t="s">
        <v>196</v>
      </c>
      <c r="I528" s="35"/>
      <c r="J528" s="34"/>
      <c r="K528" s="34"/>
      <c r="L528" s="32"/>
      <c r="M528" s="32"/>
    </row>
    <row r="529" spans="1:13" ht="60" x14ac:dyDescent="0.25">
      <c r="A529" s="164">
        <v>510</v>
      </c>
      <c r="B529" s="207"/>
      <c r="C529" s="12" t="s">
        <v>70</v>
      </c>
      <c r="D529" s="180" t="s">
        <v>71</v>
      </c>
      <c r="E529" s="112" t="s">
        <v>8</v>
      </c>
      <c r="F529" s="20">
        <f>F528</f>
        <v>42.3</v>
      </c>
      <c r="G529" s="20" t="str">
        <f>G528</f>
        <v>16,8*2,8-(1,5*1,2+0,8*2,1+0,6*2,1)</v>
      </c>
      <c r="H529" s="13" t="s">
        <v>196</v>
      </c>
      <c r="I529" s="35"/>
      <c r="J529" s="34"/>
      <c r="K529" s="34"/>
      <c r="L529" s="32"/>
      <c r="M529" s="32"/>
    </row>
    <row r="530" spans="1:13" ht="75" x14ac:dyDescent="0.25">
      <c r="A530" s="164">
        <v>511</v>
      </c>
      <c r="B530" s="207"/>
      <c r="C530" s="12" t="s">
        <v>72</v>
      </c>
      <c r="D530" s="163" t="s">
        <v>73</v>
      </c>
      <c r="E530" s="112" t="s">
        <v>8</v>
      </c>
      <c r="F530" s="20">
        <f>1.5*1.2+0.8*2.1+0.6*2.1</f>
        <v>4.74</v>
      </c>
      <c r="G530" s="20" t="s">
        <v>340</v>
      </c>
      <c r="H530" s="13" t="s">
        <v>196</v>
      </c>
      <c r="I530" s="35"/>
      <c r="J530" s="34"/>
      <c r="K530" s="34"/>
      <c r="L530" s="32"/>
      <c r="M530" s="32"/>
    </row>
    <row r="531" spans="1:13" ht="60" x14ac:dyDescent="0.25">
      <c r="A531" s="164">
        <v>512</v>
      </c>
      <c r="B531" s="207"/>
      <c r="C531" s="160" t="s">
        <v>74</v>
      </c>
      <c r="D531" s="163" t="s">
        <v>75</v>
      </c>
      <c r="E531" s="112" t="s">
        <v>8</v>
      </c>
      <c r="F531" s="20">
        <v>15.23</v>
      </c>
      <c r="G531" s="20">
        <v>15.23</v>
      </c>
      <c r="H531" s="13" t="s">
        <v>196</v>
      </c>
      <c r="I531" s="35"/>
      <c r="J531" s="34"/>
      <c r="K531" s="34"/>
      <c r="L531" s="32"/>
      <c r="M531" s="32"/>
    </row>
    <row r="532" spans="1:13" ht="60" x14ac:dyDescent="0.25">
      <c r="A532" s="164">
        <v>513</v>
      </c>
      <c r="B532" s="207"/>
      <c r="C532" s="113" t="s">
        <v>76</v>
      </c>
      <c r="D532" s="179" t="s">
        <v>77</v>
      </c>
      <c r="E532" s="112" t="s">
        <v>8</v>
      </c>
      <c r="F532" s="20">
        <v>15.23</v>
      </c>
      <c r="G532" s="20">
        <v>15.23</v>
      </c>
      <c r="H532" s="13" t="s">
        <v>196</v>
      </c>
      <c r="I532" s="35"/>
      <c r="J532" s="34"/>
      <c r="K532" s="34"/>
      <c r="L532" s="32"/>
      <c r="M532" s="32"/>
    </row>
    <row r="533" spans="1:13" ht="45" x14ac:dyDescent="0.25">
      <c r="A533" s="164">
        <v>514</v>
      </c>
      <c r="B533" s="207" t="s">
        <v>133</v>
      </c>
      <c r="C533" s="12" t="s">
        <v>68</v>
      </c>
      <c r="D533" s="180" t="s">
        <v>69</v>
      </c>
      <c r="E533" s="112" t="s">
        <v>8</v>
      </c>
      <c r="F533" s="20">
        <f>79.3*2.8-F535</f>
        <v>192.82</v>
      </c>
      <c r="G533" s="20" t="s">
        <v>342</v>
      </c>
      <c r="H533" s="13" t="s">
        <v>196</v>
      </c>
      <c r="I533" s="35"/>
      <c r="J533" s="34"/>
      <c r="K533" s="34"/>
      <c r="L533" s="32"/>
      <c r="M533" s="32"/>
    </row>
    <row r="534" spans="1:13" ht="60" x14ac:dyDescent="0.25">
      <c r="A534" s="164">
        <v>515</v>
      </c>
      <c r="B534" s="207"/>
      <c r="C534" s="12" t="s">
        <v>70</v>
      </c>
      <c r="D534" s="180" t="s">
        <v>71</v>
      </c>
      <c r="E534" s="112" t="s">
        <v>8</v>
      </c>
      <c r="F534" s="20">
        <f>F533</f>
        <v>192.82</v>
      </c>
      <c r="G534" s="20" t="str">
        <f>G533</f>
        <v>79,3*2,8-(11*0,8*2,1+4*0,6*2,1+1*2,1+2*1*1,8)</v>
      </c>
      <c r="H534" s="13" t="s">
        <v>196</v>
      </c>
      <c r="I534" s="35"/>
      <c r="J534" s="34"/>
      <c r="K534" s="34"/>
      <c r="L534" s="32"/>
      <c r="M534" s="32"/>
    </row>
    <row r="535" spans="1:13" ht="75" x14ac:dyDescent="0.25">
      <c r="A535" s="164">
        <v>516</v>
      </c>
      <c r="B535" s="207"/>
      <c r="C535" s="12" t="s">
        <v>72</v>
      </c>
      <c r="D535" s="163" t="s">
        <v>73</v>
      </c>
      <c r="E535" s="112" t="s">
        <v>8</v>
      </c>
      <c r="F535" s="20">
        <f>11*0.8*2.1+4*0.6*2.1+1*2.1+2*1*1.8</f>
        <v>29.220000000000006</v>
      </c>
      <c r="G535" s="20" t="s">
        <v>343</v>
      </c>
      <c r="H535" s="13" t="s">
        <v>196</v>
      </c>
      <c r="I535" s="35"/>
      <c r="J535" s="34"/>
      <c r="K535" s="34"/>
      <c r="L535" s="32"/>
      <c r="M535" s="32"/>
    </row>
    <row r="536" spans="1:13" ht="60" x14ac:dyDescent="0.25">
      <c r="A536" s="164">
        <v>517</v>
      </c>
      <c r="B536" s="207"/>
      <c r="C536" s="160" t="s">
        <v>74</v>
      </c>
      <c r="D536" s="163" t="s">
        <v>75</v>
      </c>
      <c r="E536" s="112" t="s">
        <v>8</v>
      </c>
      <c r="F536" s="20">
        <v>144.22</v>
      </c>
      <c r="G536" s="20">
        <v>144.22</v>
      </c>
      <c r="H536" s="13" t="s">
        <v>196</v>
      </c>
      <c r="I536" s="35"/>
      <c r="J536" s="34"/>
      <c r="K536" s="34"/>
      <c r="L536" s="32"/>
      <c r="M536" s="32"/>
    </row>
    <row r="537" spans="1:13" ht="60" x14ac:dyDescent="0.25">
      <c r="A537" s="164">
        <v>518</v>
      </c>
      <c r="B537" s="207"/>
      <c r="C537" s="113" t="s">
        <v>76</v>
      </c>
      <c r="D537" s="179" t="s">
        <v>77</v>
      </c>
      <c r="E537" s="112" t="s">
        <v>8</v>
      </c>
      <c r="F537" s="20">
        <v>144.22</v>
      </c>
      <c r="G537" s="20">
        <v>144.22</v>
      </c>
      <c r="H537" s="13" t="s">
        <v>196</v>
      </c>
      <c r="I537" s="35"/>
      <c r="J537" s="34"/>
      <c r="K537" s="34"/>
      <c r="L537" s="32"/>
      <c r="M537" s="32"/>
    </row>
    <row r="538" spans="1:13" ht="45" x14ac:dyDescent="0.25">
      <c r="A538" s="164">
        <v>519</v>
      </c>
      <c r="B538" s="207" t="s">
        <v>136</v>
      </c>
      <c r="C538" s="12" t="s">
        <v>68</v>
      </c>
      <c r="D538" s="180" t="s">
        <v>69</v>
      </c>
      <c r="E538" s="112" t="s">
        <v>8</v>
      </c>
      <c r="F538" s="20">
        <f>6*2.8-F540</f>
        <v>15.289999999999997</v>
      </c>
      <c r="G538" s="20" t="s">
        <v>344</v>
      </c>
      <c r="H538" s="13" t="s">
        <v>196</v>
      </c>
      <c r="I538" s="35"/>
      <c r="J538" s="34"/>
      <c r="K538" s="34"/>
      <c r="L538" s="32"/>
      <c r="M538" s="32"/>
    </row>
    <row r="539" spans="1:13" ht="60" x14ac:dyDescent="0.25">
      <c r="A539" s="164">
        <v>520</v>
      </c>
      <c r="B539" s="207"/>
      <c r="C539" s="12" t="s">
        <v>70</v>
      </c>
      <c r="D539" s="180" t="s">
        <v>71</v>
      </c>
      <c r="E539" s="112" t="s">
        <v>8</v>
      </c>
      <c r="F539" s="20">
        <f>F538</f>
        <v>15.289999999999997</v>
      </c>
      <c r="G539" s="20" t="str">
        <f>G538</f>
        <v>6*2,8-(0,5*0,5+0,6*2,1)</v>
      </c>
      <c r="H539" s="13" t="s">
        <v>196</v>
      </c>
      <c r="I539" s="35"/>
      <c r="J539" s="34"/>
      <c r="K539" s="34"/>
      <c r="L539" s="32"/>
      <c r="M539" s="32"/>
    </row>
    <row r="540" spans="1:13" ht="75" x14ac:dyDescent="0.25">
      <c r="A540" s="164">
        <v>521</v>
      </c>
      <c r="B540" s="207"/>
      <c r="C540" s="12" t="s">
        <v>72</v>
      </c>
      <c r="D540" s="163" t="s">
        <v>73</v>
      </c>
      <c r="E540" s="112" t="s">
        <v>8</v>
      </c>
      <c r="F540" s="20">
        <f>0.5*0.5+0.6*2.1</f>
        <v>1.51</v>
      </c>
      <c r="G540" s="20" t="s">
        <v>284</v>
      </c>
      <c r="H540" s="13" t="s">
        <v>196</v>
      </c>
      <c r="I540" s="35"/>
      <c r="J540" s="34"/>
      <c r="K540" s="34"/>
      <c r="L540" s="32"/>
      <c r="M540" s="32"/>
    </row>
    <row r="541" spans="1:13" ht="60" x14ac:dyDescent="0.25">
      <c r="A541" s="164">
        <v>522</v>
      </c>
      <c r="B541" s="207"/>
      <c r="C541" s="160" t="s">
        <v>74</v>
      </c>
      <c r="D541" s="163" t="s">
        <v>75</v>
      </c>
      <c r="E541" s="112" t="s">
        <v>8</v>
      </c>
      <c r="F541" s="20">
        <v>2.25</v>
      </c>
      <c r="G541" s="20">
        <v>2.25</v>
      </c>
      <c r="H541" s="13" t="s">
        <v>196</v>
      </c>
      <c r="I541" s="35"/>
      <c r="J541" s="34"/>
      <c r="K541" s="34"/>
      <c r="L541" s="32"/>
      <c r="M541" s="32"/>
    </row>
    <row r="542" spans="1:13" ht="60" x14ac:dyDescent="0.25">
      <c r="A542" s="164">
        <v>523</v>
      </c>
      <c r="B542" s="207"/>
      <c r="C542" s="113" t="s">
        <v>76</v>
      </c>
      <c r="D542" s="179" t="s">
        <v>77</v>
      </c>
      <c r="E542" s="112" t="s">
        <v>8</v>
      </c>
      <c r="F542" s="20">
        <v>2.25</v>
      </c>
      <c r="G542" s="20">
        <v>2.25</v>
      </c>
      <c r="H542" s="13" t="s">
        <v>196</v>
      </c>
      <c r="I542" s="35"/>
      <c r="J542" s="34"/>
      <c r="K542" s="34"/>
      <c r="L542" s="32"/>
      <c r="M542" s="32"/>
    </row>
    <row r="543" spans="1:13" ht="45" x14ac:dyDescent="0.25">
      <c r="A543" s="164">
        <v>524</v>
      </c>
      <c r="B543" s="207" t="s">
        <v>137</v>
      </c>
      <c r="C543" s="12" t="s">
        <v>68</v>
      </c>
      <c r="D543" s="180" t="s">
        <v>69</v>
      </c>
      <c r="E543" s="112" t="s">
        <v>8</v>
      </c>
      <c r="F543" s="20">
        <f>11.8*2.8-F545</f>
        <v>29.56</v>
      </c>
      <c r="G543" s="20" t="s">
        <v>345</v>
      </c>
      <c r="H543" s="13" t="s">
        <v>196</v>
      </c>
      <c r="I543" s="35"/>
      <c r="J543" s="34"/>
      <c r="K543" s="34"/>
      <c r="L543" s="32"/>
      <c r="M543" s="32"/>
    </row>
    <row r="544" spans="1:13" ht="60" x14ac:dyDescent="0.25">
      <c r="A544" s="164">
        <v>525</v>
      </c>
      <c r="B544" s="207"/>
      <c r="C544" s="12" t="s">
        <v>70</v>
      </c>
      <c r="D544" s="180" t="s">
        <v>71</v>
      </c>
      <c r="E544" s="112" t="s">
        <v>8</v>
      </c>
      <c r="F544" s="20">
        <f>F543</f>
        <v>29.56</v>
      </c>
      <c r="G544" s="20" t="str">
        <f>G543</f>
        <v>11,8*2,8-(1,5*1,2+0,8*2,1)</v>
      </c>
      <c r="H544" s="13" t="s">
        <v>196</v>
      </c>
      <c r="I544" s="35"/>
      <c r="J544" s="34"/>
      <c r="K544" s="34"/>
      <c r="L544" s="32"/>
      <c r="M544" s="32"/>
    </row>
    <row r="545" spans="1:13" ht="75" x14ac:dyDescent="0.25">
      <c r="A545" s="164">
        <v>526</v>
      </c>
      <c r="B545" s="207"/>
      <c r="C545" s="12" t="s">
        <v>72</v>
      </c>
      <c r="D545" s="163" t="s">
        <v>73</v>
      </c>
      <c r="E545" s="112" t="s">
        <v>8</v>
      </c>
      <c r="F545" s="20">
        <f>1.5*1.2+0.8*2.1</f>
        <v>3.48</v>
      </c>
      <c r="G545" s="20" t="s">
        <v>324</v>
      </c>
      <c r="H545" s="13" t="s">
        <v>196</v>
      </c>
      <c r="I545" s="35"/>
      <c r="J545" s="34"/>
      <c r="K545" s="34"/>
      <c r="L545" s="32"/>
      <c r="M545" s="32"/>
    </row>
    <row r="546" spans="1:13" ht="60" x14ac:dyDescent="0.25">
      <c r="A546" s="164">
        <v>527</v>
      </c>
      <c r="B546" s="207"/>
      <c r="C546" s="160" t="s">
        <v>74</v>
      </c>
      <c r="D546" s="163" t="s">
        <v>75</v>
      </c>
      <c r="E546" s="112" t="s">
        <v>8</v>
      </c>
      <c r="F546" s="20">
        <v>8.6999999999999993</v>
      </c>
      <c r="G546" s="20">
        <v>8.6999999999999993</v>
      </c>
      <c r="H546" s="13" t="s">
        <v>196</v>
      </c>
      <c r="I546" s="35"/>
      <c r="J546" s="34"/>
      <c r="K546" s="34"/>
      <c r="L546" s="32"/>
      <c r="M546" s="32"/>
    </row>
    <row r="547" spans="1:13" ht="60" x14ac:dyDescent="0.25">
      <c r="A547" s="164">
        <v>528</v>
      </c>
      <c r="B547" s="207"/>
      <c r="C547" s="113" t="s">
        <v>76</v>
      </c>
      <c r="D547" s="179" t="s">
        <v>77</v>
      </c>
      <c r="E547" s="112" t="s">
        <v>8</v>
      </c>
      <c r="F547" s="20">
        <v>8.6999999999999993</v>
      </c>
      <c r="G547" s="20">
        <v>8.6999999999999993</v>
      </c>
      <c r="H547" s="13" t="s">
        <v>196</v>
      </c>
      <c r="I547" s="35"/>
      <c r="J547" s="34"/>
      <c r="K547" s="34"/>
      <c r="L547" s="32"/>
      <c r="M547" s="32"/>
    </row>
    <row r="548" spans="1:13" ht="75" x14ac:dyDescent="0.25">
      <c r="A548" s="164">
        <v>529</v>
      </c>
      <c r="B548" s="207" t="s">
        <v>119</v>
      </c>
      <c r="C548" s="12" t="s">
        <v>72</v>
      </c>
      <c r="D548" s="163" t="s">
        <v>73</v>
      </c>
      <c r="E548" s="112" t="s">
        <v>8</v>
      </c>
      <c r="F548" s="20">
        <f>0.5*0.5+1*2.1</f>
        <v>2.35</v>
      </c>
      <c r="G548" s="20" t="s">
        <v>346</v>
      </c>
      <c r="H548" s="13" t="s">
        <v>196</v>
      </c>
      <c r="I548" s="35"/>
      <c r="J548" s="34"/>
      <c r="K548" s="34"/>
      <c r="L548" s="32"/>
      <c r="M548" s="32"/>
    </row>
    <row r="549" spans="1:13" ht="60" x14ac:dyDescent="0.25">
      <c r="A549" s="164">
        <v>530</v>
      </c>
      <c r="B549" s="207"/>
      <c r="C549" s="160" t="s">
        <v>74</v>
      </c>
      <c r="D549" s="163" t="s">
        <v>75</v>
      </c>
      <c r="E549" s="112" t="s">
        <v>8</v>
      </c>
      <c r="F549" s="20">
        <v>6.81</v>
      </c>
      <c r="G549" s="20">
        <v>6.81</v>
      </c>
      <c r="H549" s="13" t="s">
        <v>196</v>
      </c>
      <c r="I549" s="35"/>
      <c r="J549" s="34"/>
      <c r="K549" s="34"/>
      <c r="L549" s="32"/>
      <c r="M549" s="32"/>
    </row>
    <row r="550" spans="1:13" ht="60" x14ac:dyDescent="0.25">
      <c r="A550" s="164">
        <v>531</v>
      </c>
      <c r="B550" s="207"/>
      <c r="C550" s="113" t="s">
        <v>76</v>
      </c>
      <c r="D550" s="179" t="s">
        <v>77</v>
      </c>
      <c r="E550" s="112" t="s">
        <v>8</v>
      </c>
      <c r="F550" s="20">
        <v>6.81</v>
      </c>
      <c r="G550" s="20">
        <v>6.81</v>
      </c>
      <c r="H550" s="13" t="s">
        <v>196</v>
      </c>
      <c r="I550" s="35"/>
      <c r="J550" s="34"/>
      <c r="K550" s="34"/>
      <c r="L550" s="32"/>
      <c r="M550" s="32"/>
    </row>
    <row r="551" spans="1:13" ht="75" x14ac:dyDescent="0.25">
      <c r="A551" s="164">
        <v>532</v>
      </c>
      <c r="B551" s="207" t="s">
        <v>120</v>
      </c>
      <c r="C551" s="12" t="s">
        <v>72</v>
      </c>
      <c r="D551" s="163" t="s">
        <v>73</v>
      </c>
      <c r="E551" s="112" t="s">
        <v>8</v>
      </c>
      <c r="F551" s="20">
        <f>0.5*0.5+0.6*2.1</f>
        <v>1.51</v>
      </c>
      <c r="G551" s="20" t="s">
        <v>284</v>
      </c>
      <c r="H551" s="13" t="s">
        <v>196</v>
      </c>
      <c r="I551" s="35"/>
      <c r="J551" s="34"/>
      <c r="K551" s="34"/>
      <c r="L551" s="32"/>
      <c r="M551" s="32"/>
    </row>
    <row r="552" spans="1:13" ht="60" x14ac:dyDescent="0.25">
      <c r="A552" s="164">
        <v>533</v>
      </c>
      <c r="B552" s="207"/>
      <c r="C552" s="160" t="s">
        <v>74</v>
      </c>
      <c r="D552" s="163" t="s">
        <v>75</v>
      </c>
      <c r="E552" s="112" t="s">
        <v>8</v>
      </c>
      <c r="F552" s="20">
        <v>6.81</v>
      </c>
      <c r="G552" s="20">
        <v>6.81</v>
      </c>
      <c r="H552" s="13" t="s">
        <v>196</v>
      </c>
      <c r="I552" s="35"/>
      <c r="J552" s="34"/>
      <c r="K552" s="34"/>
      <c r="L552" s="32"/>
      <c r="M552" s="32"/>
    </row>
    <row r="553" spans="1:13" ht="60" x14ac:dyDescent="0.25">
      <c r="A553" s="164">
        <v>534</v>
      </c>
      <c r="B553" s="207"/>
      <c r="C553" s="113" t="s">
        <v>76</v>
      </c>
      <c r="D553" s="179" t="s">
        <v>77</v>
      </c>
      <c r="E553" s="112" t="s">
        <v>8</v>
      </c>
      <c r="F553" s="20">
        <v>6.81</v>
      </c>
      <c r="G553" s="20">
        <v>6.81</v>
      </c>
      <c r="H553" s="13" t="s">
        <v>196</v>
      </c>
      <c r="I553" s="35"/>
      <c r="J553" s="34"/>
      <c r="K553" s="34"/>
      <c r="L553" s="32"/>
      <c r="M553" s="32"/>
    </row>
    <row r="554" spans="1:13" ht="75" x14ac:dyDescent="0.25">
      <c r="A554" s="164">
        <v>535</v>
      </c>
      <c r="B554" s="207" t="s">
        <v>122</v>
      </c>
      <c r="C554" s="12" t="s">
        <v>72</v>
      </c>
      <c r="D554" s="163" t="s">
        <v>73</v>
      </c>
      <c r="E554" s="112" t="s">
        <v>8</v>
      </c>
      <c r="F554" s="20">
        <f>0.5*0.5+0.6*2.1</f>
        <v>1.51</v>
      </c>
      <c r="G554" s="20" t="s">
        <v>284</v>
      </c>
      <c r="H554" s="13" t="s">
        <v>196</v>
      </c>
      <c r="I554" s="35"/>
      <c r="J554" s="34"/>
      <c r="K554" s="34"/>
      <c r="L554" s="32"/>
      <c r="M554" s="32"/>
    </row>
    <row r="555" spans="1:13" ht="60" x14ac:dyDescent="0.25">
      <c r="A555" s="164">
        <v>536</v>
      </c>
      <c r="B555" s="207"/>
      <c r="C555" s="160" t="s">
        <v>74</v>
      </c>
      <c r="D555" s="163" t="s">
        <v>75</v>
      </c>
      <c r="E555" s="112" t="s">
        <v>8</v>
      </c>
      <c r="F555" s="20">
        <v>2.59</v>
      </c>
      <c r="G555" s="20">
        <v>2.59</v>
      </c>
      <c r="H555" s="13" t="s">
        <v>196</v>
      </c>
      <c r="I555" s="35"/>
      <c r="J555" s="34"/>
      <c r="K555" s="34"/>
      <c r="L555" s="32"/>
      <c r="M555" s="32"/>
    </row>
    <row r="556" spans="1:13" ht="60" x14ac:dyDescent="0.25">
      <c r="A556" s="164">
        <v>537</v>
      </c>
      <c r="B556" s="207"/>
      <c r="C556" s="113" t="s">
        <v>76</v>
      </c>
      <c r="D556" s="179" t="s">
        <v>77</v>
      </c>
      <c r="E556" s="112" t="s">
        <v>8</v>
      </c>
      <c r="F556" s="20">
        <v>2.59</v>
      </c>
      <c r="G556" s="20">
        <v>2.59</v>
      </c>
      <c r="H556" s="13" t="s">
        <v>196</v>
      </c>
      <c r="I556" s="35"/>
      <c r="J556" s="34"/>
      <c r="K556" s="34"/>
      <c r="L556" s="32"/>
      <c r="M556" s="32"/>
    </row>
    <row r="557" spans="1:13" ht="75" x14ac:dyDescent="0.25">
      <c r="A557" s="164">
        <v>538</v>
      </c>
      <c r="B557" s="207" t="s">
        <v>134</v>
      </c>
      <c r="C557" s="12" t="s">
        <v>72</v>
      </c>
      <c r="D557" s="163" t="s">
        <v>73</v>
      </c>
      <c r="E557" s="112" t="s">
        <v>8</v>
      </c>
      <c r="F557" s="20">
        <f>0.5*0.5+0.6*2.1</f>
        <v>1.51</v>
      </c>
      <c r="G557" s="20" t="s">
        <v>284</v>
      </c>
      <c r="H557" s="13" t="s">
        <v>196</v>
      </c>
      <c r="I557" s="35"/>
      <c r="J557" s="34"/>
      <c r="K557" s="34"/>
      <c r="L557" s="32"/>
      <c r="M557" s="32"/>
    </row>
    <row r="558" spans="1:13" ht="60" x14ac:dyDescent="0.25">
      <c r="A558" s="164">
        <v>539</v>
      </c>
      <c r="B558" s="207"/>
      <c r="C558" s="160" t="s">
        <v>74</v>
      </c>
      <c r="D558" s="163" t="s">
        <v>75</v>
      </c>
      <c r="E558" s="112" t="s">
        <v>8</v>
      </c>
      <c r="F558" s="20">
        <v>2.59</v>
      </c>
      <c r="G558" s="20">
        <v>2.59</v>
      </c>
      <c r="H558" s="13" t="s">
        <v>196</v>
      </c>
      <c r="I558" s="35"/>
      <c r="J558" s="34"/>
      <c r="K558" s="34"/>
      <c r="L558" s="32"/>
      <c r="M558" s="32"/>
    </row>
    <row r="559" spans="1:13" ht="60" x14ac:dyDescent="0.25">
      <c r="A559" s="164">
        <v>540</v>
      </c>
      <c r="B559" s="207"/>
      <c r="C559" s="113" t="s">
        <v>76</v>
      </c>
      <c r="D559" s="179" t="s">
        <v>77</v>
      </c>
      <c r="E559" s="112" t="s">
        <v>8</v>
      </c>
      <c r="F559" s="20">
        <v>2.59</v>
      </c>
      <c r="G559" s="20">
        <v>2.59</v>
      </c>
      <c r="H559" s="13" t="s">
        <v>196</v>
      </c>
      <c r="I559" s="35"/>
      <c r="J559" s="34"/>
      <c r="K559" s="34"/>
      <c r="L559" s="32"/>
      <c r="M559" s="32"/>
    </row>
    <row r="560" spans="1:13" ht="75" x14ac:dyDescent="0.25">
      <c r="A560" s="164">
        <v>541</v>
      </c>
      <c r="B560" s="207" t="s">
        <v>138</v>
      </c>
      <c r="C560" s="12" t="s">
        <v>72</v>
      </c>
      <c r="D560" s="163" t="s">
        <v>73</v>
      </c>
      <c r="E560" s="112" t="s">
        <v>8</v>
      </c>
      <c r="F560" s="20">
        <f>0.6*2.1</f>
        <v>1.26</v>
      </c>
      <c r="G560" s="20" t="s">
        <v>310</v>
      </c>
      <c r="H560" s="13" t="s">
        <v>196</v>
      </c>
      <c r="I560" s="35"/>
      <c r="J560" s="34"/>
      <c r="K560" s="34"/>
      <c r="L560" s="32"/>
      <c r="M560" s="32"/>
    </row>
    <row r="561" spans="1:13" ht="60" x14ac:dyDescent="0.25">
      <c r="A561" s="164">
        <v>542</v>
      </c>
      <c r="B561" s="207"/>
      <c r="C561" s="160" t="s">
        <v>74</v>
      </c>
      <c r="D561" s="163" t="s">
        <v>75</v>
      </c>
      <c r="E561" s="112" t="s">
        <v>8</v>
      </c>
      <c r="F561" s="20">
        <v>8.5</v>
      </c>
      <c r="G561" s="20">
        <v>8.5</v>
      </c>
      <c r="H561" s="13" t="s">
        <v>196</v>
      </c>
      <c r="I561" s="35"/>
      <c r="J561" s="34"/>
      <c r="K561" s="34"/>
      <c r="L561" s="32"/>
      <c r="M561" s="32"/>
    </row>
    <row r="562" spans="1:13" ht="60" x14ac:dyDescent="0.25">
      <c r="A562" s="164">
        <v>543</v>
      </c>
      <c r="B562" s="207"/>
      <c r="C562" s="113" t="s">
        <v>76</v>
      </c>
      <c r="D562" s="179" t="s">
        <v>77</v>
      </c>
      <c r="E562" s="112" t="s">
        <v>8</v>
      </c>
      <c r="F562" s="20">
        <v>8.5</v>
      </c>
      <c r="G562" s="20">
        <v>8.5</v>
      </c>
      <c r="H562" s="13" t="s">
        <v>196</v>
      </c>
      <c r="I562" s="35"/>
      <c r="J562" s="34"/>
      <c r="K562" s="34"/>
      <c r="L562" s="32"/>
      <c r="M562" s="32"/>
    </row>
    <row r="563" spans="1:13" ht="75" x14ac:dyDescent="0.25">
      <c r="A563" s="164">
        <v>544</v>
      </c>
      <c r="B563" s="207" t="s">
        <v>139</v>
      </c>
      <c r="C563" s="12" t="s">
        <v>72</v>
      </c>
      <c r="D563" s="163" t="s">
        <v>73</v>
      </c>
      <c r="E563" s="112" t="s">
        <v>8</v>
      </c>
      <c r="F563" s="20">
        <f>0.6*2.1+0.5*0.5</f>
        <v>1.51</v>
      </c>
      <c r="G563" s="20" t="s">
        <v>347</v>
      </c>
      <c r="H563" s="13" t="s">
        <v>196</v>
      </c>
      <c r="I563" s="35"/>
      <c r="J563" s="34"/>
      <c r="K563" s="34"/>
      <c r="L563" s="32"/>
      <c r="M563" s="32"/>
    </row>
    <row r="564" spans="1:13" ht="60" x14ac:dyDescent="0.25">
      <c r="A564" s="164">
        <v>545</v>
      </c>
      <c r="B564" s="207"/>
      <c r="C564" s="160" t="s">
        <v>74</v>
      </c>
      <c r="D564" s="163" t="s">
        <v>75</v>
      </c>
      <c r="E564" s="112" t="s">
        <v>8</v>
      </c>
      <c r="F564" s="20">
        <v>6.66</v>
      </c>
      <c r="G564" s="20">
        <v>6.66</v>
      </c>
      <c r="H564" s="13" t="s">
        <v>196</v>
      </c>
      <c r="I564" s="35"/>
      <c r="J564" s="34"/>
      <c r="K564" s="34"/>
      <c r="L564" s="32"/>
      <c r="M564" s="32"/>
    </row>
    <row r="565" spans="1:13" ht="60" x14ac:dyDescent="0.25">
      <c r="A565" s="164">
        <v>546</v>
      </c>
      <c r="B565" s="207"/>
      <c r="C565" s="113" t="s">
        <v>76</v>
      </c>
      <c r="D565" s="179" t="s">
        <v>77</v>
      </c>
      <c r="E565" s="112" t="s">
        <v>8</v>
      </c>
      <c r="F565" s="20">
        <v>6.66</v>
      </c>
      <c r="G565" s="20">
        <v>6.66</v>
      </c>
      <c r="H565" s="13" t="s">
        <v>196</v>
      </c>
      <c r="I565" s="35"/>
      <c r="J565" s="34"/>
      <c r="K565" s="34"/>
      <c r="L565" s="32"/>
      <c r="M565" s="32"/>
    </row>
    <row r="566" spans="1:13" ht="75" x14ac:dyDescent="0.25">
      <c r="A566" s="164">
        <v>547</v>
      </c>
      <c r="B566" s="207" t="s">
        <v>123</v>
      </c>
      <c r="C566" s="12" t="s">
        <v>72</v>
      </c>
      <c r="D566" s="163" t="s">
        <v>73</v>
      </c>
      <c r="E566" s="112" t="s">
        <v>8</v>
      </c>
      <c r="F566" s="20">
        <f>0.8*2.1+1.5*1.2</f>
        <v>3.48</v>
      </c>
      <c r="G566" s="20" t="s">
        <v>348</v>
      </c>
      <c r="H566" s="13" t="s">
        <v>196</v>
      </c>
      <c r="I566" s="35"/>
      <c r="J566" s="34"/>
      <c r="K566" s="34"/>
      <c r="L566" s="32"/>
      <c r="M566" s="32"/>
    </row>
    <row r="567" spans="1:13" ht="60" x14ac:dyDescent="0.25">
      <c r="A567" s="164">
        <v>548</v>
      </c>
      <c r="B567" s="207"/>
      <c r="C567" s="160" t="s">
        <v>74</v>
      </c>
      <c r="D567" s="163" t="s">
        <v>75</v>
      </c>
      <c r="E567" s="112" t="s">
        <v>8</v>
      </c>
      <c r="F567" s="20">
        <v>15.03</v>
      </c>
      <c r="G567" s="20">
        <v>15.03</v>
      </c>
      <c r="H567" s="13" t="s">
        <v>196</v>
      </c>
      <c r="I567" s="35"/>
      <c r="J567" s="34"/>
      <c r="K567" s="34"/>
      <c r="L567" s="32"/>
      <c r="M567" s="32"/>
    </row>
    <row r="568" spans="1:13" ht="60" x14ac:dyDescent="0.25">
      <c r="A568" s="164">
        <v>549</v>
      </c>
      <c r="B568" s="207"/>
      <c r="C568" s="113" t="s">
        <v>76</v>
      </c>
      <c r="D568" s="179" t="s">
        <v>77</v>
      </c>
      <c r="E568" s="112" t="s">
        <v>8</v>
      </c>
      <c r="F568" s="20">
        <v>15.03</v>
      </c>
      <c r="G568" s="20">
        <v>15.03</v>
      </c>
      <c r="H568" s="13" t="s">
        <v>196</v>
      </c>
      <c r="I568" s="35"/>
      <c r="J568" s="34"/>
      <c r="K568" s="34"/>
      <c r="L568" s="32"/>
      <c r="M568" s="32"/>
    </row>
    <row r="569" spans="1:13" ht="45" x14ac:dyDescent="0.25">
      <c r="A569" s="164">
        <v>550</v>
      </c>
      <c r="B569" s="207" t="s">
        <v>125</v>
      </c>
      <c r="C569" s="12" t="s">
        <v>68</v>
      </c>
      <c r="D569" s="180" t="s">
        <v>69</v>
      </c>
      <c r="E569" s="112" t="s">
        <v>8</v>
      </c>
      <c r="F569" s="20">
        <f>25.15*4.8+8.95*(4.8+3.4)/2+1.95*3.4+12.65*4.4+23.2*3.5+5.95*(4.8+3.7)/2+9.95*(3.7+5.1)/2+6*(5.1+3.5)/2</f>
        <v>395.77249999999998</v>
      </c>
      <c r="G569" s="21" t="s">
        <v>349</v>
      </c>
      <c r="H569" s="13" t="s">
        <v>196</v>
      </c>
      <c r="I569" s="35"/>
      <c r="J569" s="34"/>
      <c r="K569" s="34"/>
      <c r="L569" s="32"/>
      <c r="M569" s="32"/>
    </row>
    <row r="570" spans="1:13" ht="60" x14ac:dyDescent="0.25">
      <c r="A570" s="164">
        <v>551</v>
      </c>
      <c r="B570" s="207"/>
      <c r="C570" s="12" t="s">
        <v>70</v>
      </c>
      <c r="D570" s="180" t="s">
        <v>71</v>
      </c>
      <c r="E570" s="112" t="s">
        <v>8</v>
      </c>
      <c r="F570" s="20">
        <f>F569</f>
        <v>395.77249999999998</v>
      </c>
      <c r="G570" s="21" t="str">
        <f>G569</f>
        <v>25,15*4,8+8,95*(4,8+3,4)/2+1,95*3,4+12,65*4,4+23,2*3,5+5,95*(4,8+3,7)/2+9,95*(3,7+5,1)/2+6*(5,1+3,5)/2</v>
      </c>
      <c r="H570" s="13" t="s">
        <v>196</v>
      </c>
      <c r="I570" s="35"/>
      <c r="J570" s="34"/>
      <c r="K570" s="34"/>
      <c r="L570" s="32"/>
      <c r="M570" s="32"/>
    </row>
    <row r="571" spans="1:13" ht="45" x14ac:dyDescent="0.25">
      <c r="A571" s="164">
        <v>552</v>
      </c>
      <c r="B571" s="207" t="s">
        <v>124</v>
      </c>
      <c r="C571" s="12" t="s">
        <v>68</v>
      </c>
      <c r="D571" s="180" t="s">
        <v>69</v>
      </c>
      <c r="E571" s="112" t="s">
        <v>8</v>
      </c>
      <c r="F571" s="20">
        <f>PO!F571</f>
        <v>407.00000000000006</v>
      </c>
      <c r="G571" s="20" t="s">
        <v>361</v>
      </c>
      <c r="H571" s="13" t="s">
        <v>196</v>
      </c>
      <c r="I571" s="35"/>
      <c r="J571" s="34"/>
      <c r="K571" s="34"/>
      <c r="L571" s="32"/>
      <c r="M571" s="32"/>
    </row>
    <row r="572" spans="1:13" ht="60" x14ac:dyDescent="0.25">
      <c r="A572" s="164">
        <v>553</v>
      </c>
      <c r="B572" s="207"/>
      <c r="C572" s="12" t="s">
        <v>70</v>
      </c>
      <c r="D572" s="180" t="s">
        <v>71</v>
      </c>
      <c r="E572" s="112" t="s">
        <v>8</v>
      </c>
      <c r="F572" s="20">
        <f>PO!F572</f>
        <v>407.00000000000006</v>
      </c>
      <c r="G572" s="20" t="str">
        <f>G571</f>
        <v>185*2,2</v>
      </c>
      <c r="H572" s="13" t="s">
        <v>196</v>
      </c>
      <c r="I572" s="35"/>
      <c r="J572" s="34"/>
      <c r="K572" s="34"/>
      <c r="L572" s="32"/>
      <c r="M572" s="32"/>
    </row>
    <row r="573" spans="1:13" ht="75" x14ac:dyDescent="0.25">
      <c r="A573" s="164">
        <v>554</v>
      </c>
      <c r="B573" s="207"/>
      <c r="C573" s="12" t="s">
        <v>72</v>
      </c>
      <c r="D573" s="163" t="s">
        <v>73</v>
      </c>
      <c r="E573" s="112" t="s">
        <v>8</v>
      </c>
      <c r="F573" s="20">
        <f>PO!F573</f>
        <v>6.6000000000000005</v>
      </c>
      <c r="G573" s="20" t="s">
        <v>360</v>
      </c>
      <c r="H573" s="13" t="s">
        <v>196</v>
      </c>
      <c r="I573" s="35"/>
      <c r="J573" s="34"/>
      <c r="K573" s="34"/>
      <c r="L573" s="32"/>
      <c r="M573" s="32"/>
    </row>
    <row r="574" spans="1:13" ht="30" customHeight="1" x14ac:dyDescent="0.25">
      <c r="A574" s="28"/>
      <c r="B574" s="155"/>
      <c r="C574" s="162"/>
      <c r="D574" s="17"/>
      <c r="E574" s="3"/>
      <c r="F574" s="29"/>
      <c r="G574" s="115"/>
      <c r="H574" s="5"/>
      <c r="I574" s="41"/>
      <c r="J574" s="94"/>
      <c r="K574" s="34"/>
      <c r="L574" s="32"/>
      <c r="M574" s="32"/>
    </row>
    <row r="575" spans="1:13" x14ac:dyDescent="0.25">
      <c r="A575" s="133"/>
      <c r="B575" s="49"/>
      <c r="C575" s="50"/>
      <c r="D575" s="51"/>
      <c r="E575" s="52"/>
      <c r="F575" s="53"/>
      <c r="G575" s="116"/>
      <c r="H575" s="55"/>
      <c r="I575" s="35"/>
      <c r="J575" s="34"/>
      <c r="K575" s="34"/>
      <c r="L575" s="32"/>
      <c r="M575" s="32"/>
    </row>
    <row r="576" spans="1:13" x14ac:dyDescent="0.25">
      <c r="A576" s="134"/>
      <c r="B576" s="156" t="s">
        <v>36</v>
      </c>
      <c r="C576" s="44" t="s">
        <v>37</v>
      </c>
      <c r="D576" s="58"/>
      <c r="E576" s="193" t="s">
        <v>38</v>
      </c>
      <c r="F576" s="193"/>
      <c r="G576" s="193"/>
      <c r="H576" s="193"/>
      <c r="L576" s="32"/>
      <c r="M576" s="32"/>
    </row>
    <row r="577" spans="1:13" x14ac:dyDescent="0.25">
      <c r="A577" s="134"/>
      <c r="B577" s="63" t="s">
        <v>39</v>
      </c>
      <c r="C577" s="44" t="s">
        <v>40</v>
      </c>
      <c r="D577" s="58"/>
      <c r="E577" s="46" t="s">
        <v>41</v>
      </c>
      <c r="F577" s="192" t="s">
        <v>42</v>
      </c>
      <c r="G577" s="192"/>
      <c r="H577" s="192"/>
      <c r="L577" s="32"/>
      <c r="M577" s="32"/>
    </row>
    <row r="578" spans="1:13" x14ac:dyDescent="0.25">
      <c r="A578" s="62"/>
      <c r="B578" s="63"/>
      <c r="C578" s="63"/>
      <c r="D578" s="58"/>
      <c r="E578" s="46" t="s">
        <v>43</v>
      </c>
      <c r="F578" s="192" t="s">
        <v>44</v>
      </c>
      <c r="G578" s="192"/>
      <c r="H578" s="192"/>
      <c r="L578" s="32"/>
      <c r="M578" s="32"/>
    </row>
    <row r="579" spans="1:13" x14ac:dyDescent="0.25">
      <c r="A579" s="134"/>
      <c r="B579" s="64"/>
      <c r="C579" s="65"/>
      <c r="D579" s="58"/>
      <c r="E579" s="66"/>
      <c r="F579" s="67"/>
      <c r="G579" s="117"/>
      <c r="H579" s="69"/>
      <c r="L579" s="32"/>
      <c r="M579" s="32"/>
    </row>
    <row r="580" spans="1:13" x14ac:dyDescent="0.25">
      <c r="A580" s="134"/>
      <c r="B580" s="64"/>
      <c r="C580" s="65"/>
      <c r="D580" s="58"/>
      <c r="E580" s="66"/>
      <c r="F580" s="67"/>
      <c r="G580" s="117"/>
      <c r="H580" s="69"/>
      <c r="L580" s="32"/>
      <c r="M580" s="32"/>
    </row>
    <row r="581" spans="1:13" x14ac:dyDescent="0.25">
      <c r="A581" s="135"/>
      <c r="B581" s="72"/>
      <c r="C581" s="73"/>
      <c r="D581" s="74"/>
      <c r="E581" s="75"/>
      <c r="F581" s="76"/>
      <c r="G581" s="118"/>
      <c r="H581" s="78"/>
    </row>
  </sheetData>
  <mergeCells count="132">
    <mergeCell ref="A16:H16"/>
    <mergeCell ref="A17:H17"/>
    <mergeCell ref="B20:H20"/>
    <mergeCell ref="B21:H21"/>
    <mergeCell ref="B23:H23"/>
    <mergeCell ref="B49:H49"/>
    <mergeCell ref="A1:H11"/>
    <mergeCell ref="A12:F13"/>
    <mergeCell ref="G12:H12"/>
    <mergeCell ref="G13:H13"/>
    <mergeCell ref="A14:F14"/>
    <mergeCell ref="G14:G15"/>
    <mergeCell ref="A15:F15"/>
    <mergeCell ref="B72:B75"/>
    <mergeCell ref="B76:B79"/>
    <mergeCell ref="B80:B83"/>
    <mergeCell ref="B132:H132"/>
    <mergeCell ref="B150:B156"/>
    <mergeCell ref="B157:H157"/>
    <mergeCell ref="B50:B51"/>
    <mergeCell ref="B52:B55"/>
    <mergeCell ref="B56:B59"/>
    <mergeCell ref="B60:B63"/>
    <mergeCell ref="B64:B67"/>
    <mergeCell ref="B68:B71"/>
    <mergeCell ref="B185:B189"/>
    <mergeCell ref="B190:B194"/>
    <mergeCell ref="B195:B199"/>
    <mergeCell ref="B200:B202"/>
    <mergeCell ref="B203:B207"/>
    <mergeCell ref="B208:B210"/>
    <mergeCell ref="B158:B159"/>
    <mergeCell ref="B160:B164"/>
    <mergeCell ref="B165:B169"/>
    <mergeCell ref="B170:B174"/>
    <mergeCell ref="B175:B179"/>
    <mergeCell ref="B180:B184"/>
    <mergeCell ref="B233:B235"/>
    <mergeCell ref="B236:B238"/>
    <mergeCell ref="B239:B243"/>
    <mergeCell ref="B244:B248"/>
    <mergeCell ref="B249:B253"/>
    <mergeCell ref="B254:B258"/>
    <mergeCell ref="B211:B213"/>
    <mergeCell ref="B214:B218"/>
    <mergeCell ref="B219:B223"/>
    <mergeCell ref="B224:B226"/>
    <mergeCell ref="B227:B229"/>
    <mergeCell ref="B230:B232"/>
    <mergeCell ref="B278:B282"/>
    <mergeCell ref="B283:B287"/>
    <mergeCell ref="B288:B292"/>
    <mergeCell ref="B293:B297"/>
    <mergeCell ref="B298:B302"/>
    <mergeCell ref="B303:B307"/>
    <mergeCell ref="B259:B263"/>
    <mergeCell ref="B264:B268"/>
    <mergeCell ref="B269:B270"/>
    <mergeCell ref="B271:B273"/>
    <mergeCell ref="B274:H274"/>
    <mergeCell ref="B276:B277"/>
    <mergeCell ref="B327:B329"/>
    <mergeCell ref="B330:H330"/>
    <mergeCell ref="B332:B333"/>
    <mergeCell ref="B334:B338"/>
    <mergeCell ref="B339:B343"/>
    <mergeCell ref="B344:B348"/>
    <mergeCell ref="B308:B310"/>
    <mergeCell ref="B311:B313"/>
    <mergeCell ref="B314:B318"/>
    <mergeCell ref="B319:B321"/>
    <mergeCell ref="B322:B324"/>
    <mergeCell ref="B325:B326"/>
    <mergeCell ref="B379:B383"/>
    <mergeCell ref="B384:B386"/>
    <mergeCell ref="B387:B389"/>
    <mergeCell ref="B390:B392"/>
    <mergeCell ref="B393:B397"/>
    <mergeCell ref="B398:B401"/>
    <mergeCell ref="B349:B353"/>
    <mergeCell ref="B354:B358"/>
    <mergeCell ref="B359:B363"/>
    <mergeCell ref="B364:B368"/>
    <mergeCell ref="B369:B373"/>
    <mergeCell ref="B374:B378"/>
    <mergeCell ref="B424:B428"/>
    <mergeCell ref="B429:B433"/>
    <mergeCell ref="B434:B438"/>
    <mergeCell ref="B439:B443"/>
    <mergeCell ref="B444:B448"/>
    <mergeCell ref="B449:B453"/>
    <mergeCell ref="B402:B404"/>
    <mergeCell ref="B405:H405"/>
    <mergeCell ref="B407:B408"/>
    <mergeCell ref="B409:B413"/>
    <mergeCell ref="B414:B418"/>
    <mergeCell ref="B419:B423"/>
    <mergeCell ref="B474:B475"/>
    <mergeCell ref="B476:B478"/>
    <mergeCell ref="B479:H479"/>
    <mergeCell ref="B481:B482"/>
    <mergeCell ref="B483:B487"/>
    <mergeCell ref="B488:B492"/>
    <mergeCell ref="B454:B458"/>
    <mergeCell ref="B459:B461"/>
    <mergeCell ref="B462:B464"/>
    <mergeCell ref="B465:B467"/>
    <mergeCell ref="B468:B470"/>
    <mergeCell ref="B471:B473"/>
    <mergeCell ref="B523:B527"/>
    <mergeCell ref="B528:B532"/>
    <mergeCell ref="B533:B537"/>
    <mergeCell ref="B538:B542"/>
    <mergeCell ref="B543:B547"/>
    <mergeCell ref="B548:B550"/>
    <mergeCell ref="B493:B497"/>
    <mergeCell ref="B498:B502"/>
    <mergeCell ref="B503:B507"/>
    <mergeCell ref="B508:B512"/>
    <mergeCell ref="B513:B517"/>
    <mergeCell ref="B518:B522"/>
    <mergeCell ref="B569:B570"/>
    <mergeCell ref="B571:B573"/>
    <mergeCell ref="E576:H576"/>
    <mergeCell ref="F577:H577"/>
    <mergeCell ref="F578:H578"/>
    <mergeCell ref="B551:B553"/>
    <mergeCell ref="B554:B556"/>
    <mergeCell ref="B557:B559"/>
    <mergeCell ref="B560:B562"/>
    <mergeCell ref="B563:B565"/>
    <mergeCell ref="B566:B568"/>
  </mergeCells>
  <pageMargins left="0.51181102362204722" right="0.51181102362204722" top="0.78740157480314965" bottom="0.78740157480314965" header="0.31496062992125984" footer="0.31496062992125984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1"/>
  <sheetViews>
    <sheetView zoomScale="85" zoomScaleNormal="85" workbookViewId="0">
      <selection sqref="A1:I581"/>
    </sheetView>
  </sheetViews>
  <sheetFormatPr defaultRowHeight="15" x14ac:dyDescent="0.25"/>
  <cols>
    <col min="1" max="1" width="9.140625" style="136"/>
    <col min="2" max="2" width="38.42578125" style="22" bestFit="1" customWidth="1"/>
    <col min="3" max="3" width="33.5703125" style="1" customWidth="1"/>
    <col min="4" max="4" width="40" style="19" customWidth="1"/>
    <col min="6" max="6" width="14.7109375" style="26" bestFit="1" customWidth="1"/>
    <col min="7" max="7" width="16.140625" style="6" bestFit="1" customWidth="1"/>
    <col min="8" max="8" width="24.5703125" style="16" bestFit="1" customWidth="1"/>
    <col min="9" max="9" width="13.28515625" style="6" bestFit="1" customWidth="1"/>
    <col min="10" max="10" width="17.7109375" style="7" customWidth="1"/>
    <col min="11" max="11" width="13.140625" bestFit="1" customWidth="1"/>
  </cols>
  <sheetData>
    <row r="1" spans="1:12" x14ac:dyDescent="0.25">
      <c r="A1" s="200"/>
      <c r="B1" s="200"/>
      <c r="C1" s="200"/>
      <c r="D1" s="200"/>
      <c r="E1" s="200"/>
      <c r="F1" s="200"/>
      <c r="G1" s="200"/>
      <c r="H1" s="200"/>
      <c r="I1" s="200"/>
    </row>
    <row r="2" spans="1:12" x14ac:dyDescent="0.25">
      <c r="A2" s="200"/>
      <c r="B2" s="200"/>
      <c r="C2" s="200"/>
      <c r="D2" s="200"/>
      <c r="E2" s="200"/>
      <c r="F2" s="200"/>
      <c r="G2" s="200"/>
      <c r="H2" s="200"/>
      <c r="I2" s="200"/>
    </row>
    <row r="3" spans="1:12" x14ac:dyDescent="0.25">
      <c r="A3" s="200"/>
      <c r="B3" s="200"/>
      <c r="C3" s="200"/>
      <c r="D3" s="200"/>
      <c r="E3" s="200"/>
      <c r="F3" s="200"/>
      <c r="G3" s="200"/>
      <c r="H3" s="200"/>
      <c r="I3" s="200"/>
    </row>
    <row r="4" spans="1:12" x14ac:dyDescent="0.25">
      <c r="A4" s="200"/>
      <c r="B4" s="200"/>
      <c r="C4" s="200"/>
      <c r="D4" s="200"/>
      <c r="E4" s="200"/>
      <c r="F4" s="200"/>
      <c r="G4" s="200"/>
      <c r="H4" s="200"/>
      <c r="I4" s="200"/>
    </row>
    <row r="5" spans="1:12" x14ac:dyDescent="0.25">
      <c r="A5" s="200"/>
      <c r="B5" s="200"/>
      <c r="C5" s="200"/>
      <c r="D5" s="200"/>
      <c r="E5" s="200"/>
      <c r="F5" s="200"/>
      <c r="G5" s="200"/>
      <c r="H5" s="200"/>
      <c r="I5" s="200"/>
    </row>
    <row r="6" spans="1:12" x14ac:dyDescent="0.25">
      <c r="A6" s="200"/>
      <c r="B6" s="200"/>
      <c r="C6" s="200"/>
      <c r="D6" s="200"/>
      <c r="E6" s="200"/>
      <c r="F6" s="200"/>
      <c r="G6" s="200"/>
      <c r="H6" s="200"/>
      <c r="I6" s="200"/>
    </row>
    <row r="7" spans="1:12" x14ac:dyDescent="0.25">
      <c r="A7" s="200"/>
      <c r="B7" s="200"/>
      <c r="C7" s="200"/>
      <c r="D7" s="200"/>
      <c r="E7" s="200"/>
      <c r="F7" s="200"/>
      <c r="G7" s="200"/>
      <c r="H7" s="200"/>
      <c r="I7" s="200"/>
    </row>
    <row r="8" spans="1:12" x14ac:dyDescent="0.25">
      <c r="A8" s="200"/>
      <c r="B8" s="200"/>
      <c r="C8" s="200"/>
      <c r="D8" s="200"/>
      <c r="E8" s="200"/>
      <c r="F8" s="200"/>
      <c r="G8" s="200"/>
      <c r="H8" s="200"/>
      <c r="I8" s="200"/>
    </row>
    <row r="9" spans="1:12" x14ac:dyDescent="0.25">
      <c r="A9" s="200"/>
      <c r="B9" s="200"/>
      <c r="C9" s="200"/>
      <c r="D9" s="200"/>
      <c r="E9" s="200"/>
      <c r="F9" s="200"/>
      <c r="G9" s="200"/>
      <c r="H9" s="200"/>
      <c r="I9" s="200"/>
    </row>
    <row r="10" spans="1:12" x14ac:dyDescent="0.25">
      <c r="A10" s="200"/>
      <c r="B10" s="200"/>
      <c r="C10" s="200"/>
      <c r="D10" s="200"/>
      <c r="E10" s="200"/>
      <c r="F10" s="200"/>
      <c r="G10" s="200"/>
      <c r="H10" s="200"/>
      <c r="I10" s="200"/>
    </row>
    <row r="11" spans="1:12" x14ac:dyDescent="0.25">
      <c r="A11" s="200"/>
      <c r="B11" s="200"/>
      <c r="C11" s="200"/>
      <c r="D11" s="200"/>
      <c r="E11" s="200"/>
      <c r="F11" s="200"/>
      <c r="G11" s="200"/>
      <c r="H11" s="200"/>
      <c r="I11" s="200"/>
    </row>
    <row r="12" spans="1:12" ht="15" customHeight="1" x14ac:dyDescent="0.25">
      <c r="A12" s="201"/>
      <c r="B12" s="201"/>
      <c r="C12" s="201"/>
      <c r="D12" s="201"/>
      <c r="E12" s="201"/>
      <c r="F12" s="201"/>
      <c r="G12" s="202" t="s">
        <v>51</v>
      </c>
      <c r="H12" s="202"/>
      <c r="I12" s="202"/>
      <c r="J12" s="35"/>
      <c r="K12" s="36"/>
      <c r="L12" s="34"/>
    </row>
    <row r="13" spans="1:12" ht="15" customHeight="1" x14ac:dyDescent="0.25">
      <c r="A13" s="201"/>
      <c r="B13" s="201"/>
      <c r="C13" s="201"/>
      <c r="D13" s="201"/>
      <c r="E13" s="201"/>
      <c r="F13" s="201"/>
      <c r="G13" s="202" t="s">
        <v>193</v>
      </c>
      <c r="H13" s="202"/>
      <c r="I13" s="202"/>
      <c r="J13" s="35"/>
      <c r="K13" s="36"/>
      <c r="L13" s="34"/>
    </row>
    <row r="14" spans="1:12" ht="15" customHeight="1" x14ac:dyDescent="0.25">
      <c r="A14" s="203" t="s">
        <v>29</v>
      </c>
      <c r="B14" s="203"/>
      <c r="C14" s="203"/>
      <c r="D14" s="203"/>
      <c r="E14" s="203"/>
      <c r="F14" s="203"/>
      <c r="G14" s="204" t="s">
        <v>32</v>
      </c>
      <c r="H14" s="197" t="s">
        <v>33</v>
      </c>
      <c r="I14" s="199"/>
      <c r="J14" s="35"/>
      <c r="K14" s="36"/>
      <c r="L14" s="34"/>
    </row>
    <row r="15" spans="1:12" ht="15" customHeight="1" x14ac:dyDescent="0.25">
      <c r="A15" s="203" t="s">
        <v>192</v>
      </c>
      <c r="B15" s="203"/>
      <c r="C15" s="203"/>
      <c r="D15" s="203"/>
      <c r="E15" s="203"/>
      <c r="F15" s="203"/>
      <c r="G15" s="204"/>
      <c r="H15" s="205" t="s">
        <v>34</v>
      </c>
      <c r="I15" s="206"/>
      <c r="J15" s="35"/>
      <c r="K15" s="37"/>
      <c r="L15" s="34"/>
    </row>
    <row r="16" spans="1:12" ht="21" customHeight="1" x14ac:dyDescent="0.35">
      <c r="A16" s="194" t="s">
        <v>31</v>
      </c>
      <c r="B16" s="195"/>
      <c r="C16" s="195"/>
      <c r="D16" s="195"/>
      <c r="E16" s="195"/>
      <c r="F16" s="195"/>
      <c r="G16" s="195"/>
      <c r="H16" s="195"/>
      <c r="I16" s="196"/>
      <c r="J16" s="33"/>
      <c r="K16" s="38"/>
      <c r="L16" s="34"/>
    </row>
    <row r="17" spans="1:12" ht="15" customHeight="1" x14ac:dyDescent="0.35">
      <c r="A17" s="197" t="s">
        <v>195</v>
      </c>
      <c r="B17" s="198"/>
      <c r="C17" s="198"/>
      <c r="D17" s="198"/>
      <c r="E17" s="198"/>
      <c r="F17" s="198"/>
      <c r="G17" s="198"/>
      <c r="H17" s="198"/>
      <c r="I17" s="199"/>
      <c r="J17" s="40"/>
      <c r="K17" s="37"/>
      <c r="L17" s="34"/>
    </row>
    <row r="18" spans="1:12" ht="14.45" x14ac:dyDescent="0.35">
      <c r="A18" s="2" t="s">
        <v>10</v>
      </c>
      <c r="B18" s="152">
        <v>0.22470000000000001</v>
      </c>
      <c r="C18" s="11"/>
      <c r="D18" s="17"/>
      <c r="E18" s="3"/>
      <c r="F18" s="27"/>
      <c r="G18" s="9"/>
      <c r="H18" s="14"/>
      <c r="I18" s="5"/>
      <c r="J18" s="33"/>
      <c r="K18" s="34"/>
      <c r="L18" s="34"/>
    </row>
    <row r="19" spans="1:12" x14ac:dyDescent="0.25">
      <c r="A19" s="4" t="s">
        <v>0</v>
      </c>
      <c r="B19" s="153" t="s">
        <v>1</v>
      </c>
      <c r="C19" s="8" t="s">
        <v>11</v>
      </c>
      <c r="D19" s="18" t="s">
        <v>2</v>
      </c>
      <c r="E19" s="4" t="s">
        <v>3</v>
      </c>
      <c r="F19" s="114" t="s">
        <v>4</v>
      </c>
      <c r="G19" s="10" t="s">
        <v>5</v>
      </c>
      <c r="H19" s="15" t="s">
        <v>6</v>
      </c>
      <c r="I19" s="10" t="s">
        <v>7</v>
      </c>
      <c r="J19" s="33"/>
      <c r="K19" s="34"/>
      <c r="L19" s="34"/>
    </row>
    <row r="20" spans="1:12" ht="45" customHeight="1" x14ac:dyDescent="0.35">
      <c r="A20" s="164">
        <v>1</v>
      </c>
      <c r="B20" s="213" t="s">
        <v>83</v>
      </c>
      <c r="C20" s="213"/>
      <c r="D20" s="213"/>
      <c r="E20" s="213"/>
      <c r="F20" s="213"/>
      <c r="G20" s="213"/>
      <c r="H20" s="213"/>
      <c r="I20" s="30">
        <f>SUM(I21,I23,I49,I132,I157)</f>
        <v>280875.19376592094</v>
      </c>
      <c r="J20" s="33"/>
      <c r="K20" s="34"/>
      <c r="L20" s="34"/>
    </row>
    <row r="21" spans="1:12" x14ac:dyDescent="0.25">
      <c r="A21" s="164">
        <v>2</v>
      </c>
      <c r="B21" s="212" t="s">
        <v>156</v>
      </c>
      <c r="C21" s="212"/>
      <c r="D21" s="212"/>
      <c r="E21" s="212"/>
      <c r="F21" s="212"/>
      <c r="G21" s="212"/>
      <c r="H21" s="212"/>
      <c r="I21" s="30">
        <f>I22</f>
        <v>1100.6780601600001</v>
      </c>
      <c r="J21" s="33"/>
      <c r="K21" s="34"/>
      <c r="L21" s="34"/>
    </row>
    <row r="22" spans="1:12" ht="29.1" x14ac:dyDescent="0.35">
      <c r="A22" s="164">
        <v>3</v>
      </c>
      <c r="B22" s="112"/>
      <c r="C22" s="150" t="s">
        <v>155</v>
      </c>
      <c r="D22" s="151" t="s">
        <v>154</v>
      </c>
      <c r="E22" s="112" t="s">
        <v>8</v>
      </c>
      <c r="F22" s="112">
        <v>2.88</v>
      </c>
      <c r="G22" s="112">
        <v>312.06</v>
      </c>
      <c r="H22" s="13">
        <f t="shared" ref="H22" si="0">G22+G22*B$18</f>
        <v>382.17988200000002</v>
      </c>
      <c r="I22" s="13">
        <f t="shared" ref="I22" si="1">H22*F22</f>
        <v>1100.6780601600001</v>
      </c>
      <c r="J22" s="33"/>
      <c r="K22" s="34"/>
      <c r="L22" s="34"/>
    </row>
    <row r="23" spans="1:12" x14ac:dyDescent="0.25">
      <c r="A23" s="164">
        <v>4</v>
      </c>
      <c r="B23" s="212" t="s">
        <v>82</v>
      </c>
      <c r="C23" s="212"/>
      <c r="D23" s="212"/>
      <c r="E23" s="212"/>
      <c r="F23" s="212"/>
      <c r="G23" s="212"/>
      <c r="H23" s="212"/>
      <c r="I23" s="165">
        <f>SUM(I24:I48)</f>
        <v>14546.557024228003</v>
      </c>
      <c r="J23" s="33"/>
      <c r="K23" s="34"/>
      <c r="L23" s="34"/>
    </row>
    <row r="24" spans="1:12" ht="45" x14ac:dyDescent="0.25">
      <c r="A24" s="164">
        <v>5</v>
      </c>
      <c r="B24" s="154" t="s">
        <v>105</v>
      </c>
      <c r="C24" s="144" t="s">
        <v>67</v>
      </c>
      <c r="D24" s="143" t="s">
        <v>66</v>
      </c>
      <c r="E24" s="112" t="s">
        <v>8</v>
      </c>
      <c r="F24" s="20">
        <v>118.64</v>
      </c>
      <c r="G24" s="13">
        <v>8.86</v>
      </c>
      <c r="H24" s="13">
        <f t="shared" ref="H24:H36" si="2">G24+G24*B$18</f>
        <v>10.850842</v>
      </c>
      <c r="I24" s="13">
        <f t="shared" ref="I24" si="3">H24*F24</f>
        <v>1287.3438948800001</v>
      </c>
      <c r="J24" s="33"/>
      <c r="K24" s="34"/>
      <c r="L24" s="34"/>
    </row>
    <row r="25" spans="1:12" ht="45" x14ac:dyDescent="0.25">
      <c r="A25" s="164">
        <v>6</v>
      </c>
      <c r="B25" s="154" t="s">
        <v>106</v>
      </c>
      <c r="C25" s="144" t="s">
        <v>67</v>
      </c>
      <c r="D25" s="143" t="s">
        <v>66</v>
      </c>
      <c r="E25" s="112" t="s">
        <v>8</v>
      </c>
      <c r="F25" s="20">
        <v>113.9</v>
      </c>
      <c r="G25" s="13">
        <v>8.86</v>
      </c>
      <c r="H25" s="13">
        <f t="shared" si="2"/>
        <v>10.850842</v>
      </c>
      <c r="I25" s="13">
        <f t="shared" ref="I25" si="4">H25*F25</f>
        <v>1235.9109038000001</v>
      </c>
      <c r="J25" s="33"/>
      <c r="K25" s="34"/>
      <c r="L25" s="34"/>
    </row>
    <row r="26" spans="1:12" ht="45" x14ac:dyDescent="0.25">
      <c r="A26" s="164">
        <v>7</v>
      </c>
      <c r="B26" s="154" t="s">
        <v>107</v>
      </c>
      <c r="C26" s="144" t="s">
        <v>67</v>
      </c>
      <c r="D26" s="143" t="s">
        <v>66</v>
      </c>
      <c r="E26" s="112" t="s">
        <v>8</v>
      </c>
      <c r="F26" s="20">
        <v>40.6</v>
      </c>
      <c r="G26" s="13">
        <v>8.86</v>
      </c>
      <c r="H26" s="13">
        <f t="shared" si="2"/>
        <v>10.850842</v>
      </c>
      <c r="I26" s="13">
        <f t="shared" ref="I26" si="5">H26*F26</f>
        <v>440.54418520000002</v>
      </c>
      <c r="J26" s="33"/>
      <c r="K26" s="34"/>
      <c r="L26" s="34"/>
    </row>
    <row r="27" spans="1:12" ht="45" x14ac:dyDescent="0.25">
      <c r="A27" s="164">
        <v>8</v>
      </c>
      <c r="B27" s="154" t="s">
        <v>108</v>
      </c>
      <c r="C27" s="144" t="s">
        <v>67</v>
      </c>
      <c r="D27" s="143" t="s">
        <v>66</v>
      </c>
      <c r="E27" s="112" t="s">
        <v>8</v>
      </c>
      <c r="F27" s="20">
        <v>93.31</v>
      </c>
      <c r="G27" s="13">
        <v>8.86</v>
      </c>
      <c r="H27" s="13">
        <f t="shared" si="2"/>
        <v>10.850842</v>
      </c>
      <c r="I27" s="13">
        <f t="shared" ref="I27" si="6">H27*F27</f>
        <v>1012.49206702</v>
      </c>
      <c r="J27" s="33"/>
      <c r="K27" s="34"/>
      <c r="L27" s="34"/>
    </row>
    <row r="28" spans="1:12" ht="45" x14ac:dyDescent="0.25">
      <c r="A28" s="164">
        <v>9</v>
      </c>
      <c r="B28" s="154" t="s">
        <v>109</v>
      </c>
      <c r="C28" s="144" t="s">
        <v>67</v>
      </c>
      <c r="D28" s="143" t="s">
        <v>66</v>
      </c>
      <c r="E28" s="112" t="s">
        <v>8</v>
      </c>
      <c r="F28" s="20">
        <v>130.69</v>
      </c>
      <c r="G28" s="13">
        <v>8.86</v>
      </c>
      <c r="H28" s="13">
        <f t="shared" si="2"/>
        <v>10.850842</v>
      </c>
      <c r="I28" s="13">
        <f t="shared" ref="I28" si="7">H28*F28</f>
        <v>1418.0965409800001</v>
      </c>
      <c r="J28" s="33"/>
      <c r="K28" s="34"/>
      <c r="L28" s="34"/>
    </row>
    <row r="29" spans="1:12" ht="45" x14ac:dyDescent="0.25">
      <c r="A29" s="164">
        <v>10</v>
      </c>
      <c r="B29" s="154" t="s">
        <v>140</v>
      </c>
      <c r="C29" s="144" t="s">
        <v>67</v>
      </c>
      <c r="D29" s="143" t="s">
        <v>66</v>
      </c>
      <c r="E29" s="112" t="s">
        <v>8</v>
      </c>
      <c r="F29" s="20">
        <v>41.4</v>
      </c>
      <c r="G29" s="13">
        <v>8.86</v>
      </c>
      <c r="H29" s="13">
        <f t="shared" si="2"/>
        <v>10.850842</v>
      </c>
      <c r="I29" s="13">
        <f t="shared" ref="I29" si="8">H29*F29</f>
        <v>449.22485879999999</v>
      </c>
      <c r="J29" s="33"/>
      <c r="K29" s="34"/>
      <c r="L29" s="34"/>
    </row>
    <row r="30" spans="1:12" ht="45" x14ac:dyDescent="0.25">
      <c r="A30" s="164">
        <v>11</v>
      </c>
      <c r="B30" s="154" t="s">
        <v>141</v>
      </c>
      <c r="C30" s="144" t="s">
        <v>67</v>
      </c>
      <c r="D30" s="143" t="s">
        <v>66</v>
      </c>
      <c r="E30" s="112" t="s">
        <v>8</v>
      </c>
      <c r="F30" s="20">
        <v>38.590000000000003</v>
      </c>
      <c r="G30" s="13">
        <v>8.86</v>
      </c>
      <c r="H30" s="13">
        <f t="shared" si="2"/>
        <v>10.850842</v>
      </c>
      <c r="I30" s="13">
        <f t="shared" ref="I30" si="9">H30*F30</f>
        <v>418.73399278000005</v>
      </c>
      <c r="J30" s="33"/>
      <c r="K30" s="34"/>
      <c r="L30" s="34"/>
    </row>
    <row r="31" spans="1:12" ht="45" x14ac:dyDescent="0.25">
      <c r="A31" s="164">
        <v>12</v>
      </c>
      <c r="B31" s="154" t="s">
        <v>142</v>
      </c>
      <c r="C31" s="144" t="s">
        <v>67</v>
      </c>
      <c r="D31" s="143" t="s">
        <v>66</v>
      </c>
      <c r="E31" s="112" t="s">
        <v>8</v>
      </c>
      <c r="F31" s="20">
        <v>41.49</v>
      </c>
      <c r="G31" s="13">
        <v>8.86</v>
      </c>
      <c r="H31" s="13">
        <f t="shared" si="2"/>
        <v>10.850842</v>
      </c>
      <c r="I31" s="13">
        <f t="shared" ref="I31:I48" si="10">H31*F31</f>
        <v>450.20143458000001</v>
      </c>
      <c r="J31" s="33"/>
      <c r="K31" s="34"/>
      <c r="L31" s="34"/>
    </row>
    <row r="32" spans="1:12" ht="45" x14ac:dyDescent="0.25">
      <c r="A32" s="164">
        <v>13</v>
      </c>
      <c r="B32" s="154" t="s">
        <v>140</v>
      </c>
      <c r="C32" s="144" t="s">
        <v>101</v>
      </c>
      <c r="D32" s="143" t="s">
        <v>102</v>
      </c>
      <c r="E32" s="112" t="s">
        <v>8</v>
      </c>
      <c r="F32" s="20">
        <v>41.4</v>
      </c>
      <c r="G32" s="13">
        <v>13.08</v>
      </c>
      <c r="H32" s="13">
        <f t="shared" si="2"/>
        <v>16.019075999999998</v>
      </c>
      <c r="I32" s="13">
        <f t="shared" si="10"/>
        <v>663.18974639999988</v>
      </c>
      <c r="J32" s="33"/>
      <c r="K32" s="34"/>
      <c r="L32" s="34"/>
    </row>
    <row r="33" spans="1:12" ht="45" x14ac:dyDescent="0.25">
      <c r="A33" s="164">
        <v>14</v>
      </c>
      <c r="B33" s="154" t="s">
        <v>141</v>
      </c>
      <c r="C33" s="144" t="s">
        <v>101</v>
      </c>
      <c r="D33" s="143" t="s">
        <v>102</v>
      </c>
      <c r="E33" s="112" t="s">
        <v>8</v>
      </c>
      <c r="F33" s="20">
        <v>38.590000000000003</v>
      </c>
      <c r="G33" s="13">
        <v>13.08</v>
      </c>
      <c r="H33" s="13">
        <f t="shared" si="2"/>
        <v>16.019075999999998</v>
      </c>
      <c r="I33" s="13">
        <f t="shared" si="10"/>
        <v>618.17614284000001</v>
      </c>
      <c r="J33" s="33"/>
      <c r="K33" s="34"/>
      <c r="L33" s="34"/>
    </row>
    <row r="34" spans="1:12" ht="45" x14ac:dyDescent="0.25">
      <c r="A34" s="164">
        <v>15</v>
      </c>
      <c r="B34" s="154" t="s">
        <v>142</v>
      </c>
      <c r="C34" s="144" t="s">
        <v>101</v>
      </c>
      <c r="D34" s="143" t="s">
        <v>102</v>
      </c>
      <c r="E34" s="112" t="s">
        <v>8</v>
      </c>
      <c r="F34" s="20">
        <v>41.49</v>
      </c>
      <c r="G34" s="13">
        <v>13.08</v>
      </c>
      <c r="H34" s="13">
        <f t="shared" si="2"/>
        <v>16.019075999999998</v>
      </c>
      <c r="I34" s="13">
        <f t="shared" si="10"/>
        <v>664.63146324000002</v>
      </c>
      <c r="J34" s="33"/>
      <c r="K34" s="34"/>
      <c r="L34" s="34"/>
    </row>
    <row r="35" spans="1:12" ht="45" x14ac:dyDescent="0.25">
      <c r="A35" s="164">
        <v>16</v>
      </c>
      <c r="B35" s="154" t="s">
        <v>114</v>
      </c>
      <c r="C35" s="144" t="s">
        <v>85</v>
      </c>
      <c r="D35" s="143" t="s">
        <v>84</v>
      </c>
      <c r="E35" s="112" t="s">
        <v>8</v>
      </c>
      <c r="F35" s="20">
        <v>48.06</v>
      </c>
      <c r="G35" s="13">
        <v>10.49</v>
      </c>
      <c r="H35" s="13">
        <f t="shared" si="2"/>
        <v>12.847103000000001</v>
      </c>
      <c r="I35" s="13">
        <f t="shared" si="10"/>
        <v>617.43177018000006</v>
      </c>
      <c r="J35" s="33"/>
      <c r="K35" s="34"/>
      <c r="L35" s="34"/>
    </row>
    <row r="36" spans="1:12" ht="51" customHeight="1" x14ac:dyDescent="0.25">
      <c r="A36" s="164">
        <v>17</v>
      </c>
      <c r="B36" s="154" t="s">
        <v>114</v>
      </c>
      <c r="C36" s="144" t="s">
        <v>86</v>
      </c>
      <c r="D36" s="147" t="s">
        <v>87</v>
      </c>
      <c r="E36" s="112" t="s">
        <v>8</v>
      </c>
      <c r="F36" s="20">
        <v>48.06</v>
      </c>
      <c r="G36" s="13">
        <v>11.82</v>
      </c>
      <c r="H36" s="13">
        <f t="shared" si="2"/>
        <v>14.475954000000002</v>
      </c>
      <c r="I36" s="13">
        <f t="shared" si="10"/>
        <v>695.71434924000016</v>
      </c>
      <c r="J36" s="33"/>
      <c r="K36" s="34"/>
      <c r="L36" s="34"/>
    </row>
    <row r="37" spans="1:12" ht="51" customHeight="1" x14ac:dyDescent="0.25">
      <c r="A37" s="164">
        <v>18</v>
      </c>
      <c r="B37" s="154" t="s">
        <v>115</v>
      </c>
      <c r="C37" s="144" t="s">
        <v>85</v>
      </c>
      <c r="D37" s="143" t="s">
        <v>84</v>
      </c>
      <c r="E37" s="112" t="s">
        <v>8</v>
      </c>
      <c r="F37" s="20">
        <v>47.76</v>
      </c>
      <c r="G37" s="13">
        <v>10.49</v>
      </c>
      <c r="H37" s="13">
        <f t="shared" ref="H37:H38" si="11">G37+G37*B$18</f>
        <v>12.847103000000001</v>
      </c>
      <c r="I37" s="13">
        <f t="shared" ref="I37:I38" si="12">H37*F37</f>
        <v>613.57763927999997</v>
      </c>
      <c r="J37" s="33"/>
      <c r="K37" s="34"/>
      <c r="L37" s="34"/>
    </row>
    <row r="38" spans="1:12" ht="51" customHeight="1" x14ac:dyDescent="0.25">
      <c r="A38" s="164">
        <v>19</v>
      </c>
      <c r="B38" s="154" t="s">
        <v>115</v>
      </c>
      <c r="C38" s="144" t="s">
        <v>86</v>
      </c>
      <c r="D38" s="147" t="s">
        <v>87</v>
      </c>
      <c r="E38" s="112" t="s">
        <v>8</v>
      </c>
      <c r="F38" s="20">
        <v>47.76</v>
      </c>
      <c r="G38" s="13">
        <v>11.82</v>
      </c>
      <c r="H38" s="13">
        <f t="shared" si="11"/>
        <v>14.475954000000002</v>
      </c>
      <c r="I38" s="13">
        <f t="shared" si="12"/>
        <v>691.37156304000007</v>
      </c>
      <c r="J38" s="33"/>
      <c r="K38" s="34"/>
      <c r="L38" s="34"/>
    </row>
    <row r="39" spans="1:12" ht="51" customHeight="1" x14ac:dyDescent="0.25">
      <c r="A39" s="164">
        <v>20</v>
      </c>
      <c r="B39" s="154" t="s">
        <v>103</v>
      </c>
      <c r="C39" s="144" t="s">
        <v>85</v>
      </c>
      <c r="D39" s="143" t="s">
        <v>84</v>
      </c>
      <c r="E39" s="112" t="s">
        <v>8</v>
      </c>
      <c r="F39" s="20">
        <v>51.6</v>
      </c>
      <c r="G39" s="13">
        <v>10.49</v>
      </c>
      <c r="H39" s="13">
        <f t="shared" ref="H39:H42" si="13">G39+G39*B$18</f>
        <v>12.847103000000001</v>
      </c>
      <c r="I39" s="13">
        <f t="shared" ref="I39:I42" si="14">H39*F39</f>
        <v>662.9105148000001</v>
      </c>
      <c r="J39" s="33"/>
      <c r="K39" s="34"/>
      <c r="L39" s="34"/>
    </row>
    <row r="40" spans="1:12" ht="51" customHeight="1" x14ac:dyDescent="0.25">
      <c r="A40" s="164">
        <v>21</v>
      </c>
      <c r="B40" s="154" t="s">
        <v>103</v>
      </c>
      <c r="C40" s="144" t="s">
        <v>86</v>
      </c>
      <c r="D40" s="147" t="s">
        <v>87</v>
      </c>
      <c r="E40" s="112" t="s">
        <v>8</v>
      </c>
      <c r="F40" s="20">
        <v>51.6</v>
      </c>
      <c r="G40" s="13">
        <v>11.82</v>
      </c>
      <c r="H40" s="13">
        <f t="shared" si="13"/>
        <v>14.475954000000002</v>
      </c>
      <c r="I40" s="13">
        <f t="shared" si="14"/>
        <v>746.95922640000015</v>
      </c>
      <c r="J40" s="33"/>
      <c r="K40" s="34"/>
      <c r="L40" s="34"/>
    </row>
    <row r="41" spans="1:12" ht="51" customHeight="1" x14ac:dyDescent="0.25">
      <c r="A41" s="164">
        <v>22</v>
      </c>
      <c r="B41" s="154" t="s">
        <v>116</v>
      </c>
      <c r="C41" s="144" t="s">
        <v>85</v>
      </c>
      <c r="D41" s="143" t="s">
        <v>84</v>
      </c>
      <c r="E41" s="112" t="s">
        <v>8</v>
      </c>
      <c r="F41" s="20">
        <v>51.6</v>
      </c>
      <c r="G41" s="13">
        <v>10.49</v>
      </c>
      <c r="H41" s="13">
        <f t="shared" si="13"/>
        <v>12.847103000000001</v>
      </c>
      <c r="I41" s="13">
        <f t="shared" si="14"/>
        <v>662.9105148000001</v>
      </c>
      <c r="J41" s="33"/>
      <c r="K41" s="34"/>
      <c r="L41" s="34"/>
    </row>
    <row r="42" spans="1:12" ht="51" customHeight="1" x14ac:dyDescent="0.25">
      <c r="A42" s="164">
        <v>23</v>
      </c>
      <c r="B42" s="154" t="s">
        <v>116</v>
      </c>
      <c r="C42" s="144" t="s">
        <v>86</v>
      </c>
      <c r="D42" s="147" t="s">
        <v>87</v>
      </c>
      <c r="E42" s="112" t="s">
        <v>8</v>
      </c>
      <c r="F42" s="20">
        <v>51.6</v>
      </c>
      <c r="G42" s="13">
        <v>11.82</v>
      </c>
      <c r="H42" s="13">
        <f t="shared" si="13"/>
        <v>14.475954000000002</v>
      </c>
      <c r="I42" s="13">
        <f t="shared" si="14"/>
        <v>746.95922640000015</v>
      </c>
      <c r="J42" s="33"/>
      <c r="K42" s="34"/>
      <c r="L42" s="34"/>
    </row>
    <row r="43" spans="1:12" ht="51" customHeight="1" x14ac:dyDescent="0.25">
      <c r="A43" s="164">
        <v>24</v>
      </c>
      <c r="B43" s="154" t="s">
        <v>164</v>
      </c>
      <c r="C43" s="144" t="s">
        <v>85</v>
      </c>
      <c r="D43" s="143" t="s">
        <v>84</v>
      </c>
      <c r="E43" s="112" t="s">
        <v>8</v>
      </c>
      <c r="F43" s="20">
        <v>6.48</v>
      </c>
      <c r="G43" s="13">
        <v>10.49</v>
      </c>
      <c r="H43" s="13">
        <f t="shared" ref="H43:H44" si="15">G43+G43*B$18</f>
        <v>12.847103000000001</v>
      </c>
      <c r="I43" s="13">
        <f t="shared" ref="I43:I44" si="16">H43*F43</f>
        <v>83.249227440000013</v>
      </c>
      <c r="J43" s="33"/>
      <c r="K43" s="34"/>
      <c r="L43" s="34"/>
    </row>
    <row r="44" spans="1:12" ht="51" customHeight="1" x14ac:dyDescent="0.25">
      <c r="A44" s="164">
        <v>25</v>
      </c>
      <c r="B44" s="154" t="s">
        <v>164</v>
      </c>
      <c r="C44" s="144" t="s">
        <v>86</v>
      </c>
      <c r="D44" s="147" t="s">
        <v>87</v>
      </c>
      <c r="E44" s="112" t="s">
        <v>8</v>
      </c>
      <c r="F44" s="20">
        <v>6.48</v>
      </c>
      <c r="G44" s="13">
        <v>11.82</v>
      </c>
      <c r="H44" s="13">
        <f t="shared" si="15"/>
        <v>14.475954000000002</v>
      </c>
      <c r="I44" s="13">
        <f t="shared" si="16"/>
        <v>93.804181920000019</v>
      </c>
      <c r="J44" s="33"/>
      <c r="K44" s="34"/>
      <c r="L44" s="34"/>
    </row>
    <row r="45" spans="1:12" ht="45" x14ac:dyDescent="0.25">
      <c r="A45" s="164">
        <v>26</v>
      </c>
      <c r="B45" s="163" t="s">
        <v>143</v>
      </c>
      <c r="C45" s="144" t="s">
        <v>88</v>
      </c>
      <c r="D45" s="147" t="s">
        <v>90</v>
      </c>
      <c r="E45" s="112" t="s">
        <v>89</v>
      </c>
      <c r="F45" s="20">
        <f>2*(2*0.28*3.9)-(0.8*2.1)-(1.6*1.5)</f>
        <v>0.28799999999999981</v>
      </c>
      <c r="G45" s="13">
        <v>88.74</v>
      </c>
      <c r="H45" s="13">
        <f t="shared" ref="H45:H48" si="17">G45+G45*B$18</f>
        <v>108.679878</v>
      </c>
      <c r="I45" s="13">
        <f t="shared" si="10"/>
        <v>31.299804863999981</v>
      </c>
      <c r="J45" s="33"/>
      <c r="K45" s="34"/>
      <c r="L45" s="34"/>
    </row>
    <row r="46" spans="1:12" ht="30" x14ac:dyDescent="0.25">
      <c r="A46" s="164">
        <v>27</v>
      </c>
      <c r="B46" s="154" t="s">
        <v>144</v>
      </c>
      <c r="C46" s="144" t="s">
        <v>91</v>
      </c>
      <c r="D46" s="147" t="s">
        <v>92</v>
      </c>
      <c r="E46" s="112" t="s">
        <v>8</v>
      </c>
      <c r="F46" s="20">
        <f>0.8*2.1</f>
        <v>1.6800000000000002</v>
      </c>
      <c r="G46" s="13">
        <v>12.56</v>
      </c>
      <c r="H46" s="13">
        <f t="shared" si="17"/>
        <v>15.382232</v>
      </c>
      <c r="I46" s="13">
        <f t="shared" si="10"/>
        <v>25.842149760000002</v>
      </c>
      <c r="J46" s="33"/>
      <c r="K46" s="34"/>
      <c r="L46" s="34"/>
    </row>
    <row r="47" spans="1:12" ht="30" x14ac:dyDescent="0.25">
      <c r="A47" s="164">
        <v>28</v>
      </c>
      <c r="B47" s="154" t="s">
        <v>145</v>
      </c>
      <c r="C47" s="144" t="s">
        <v>91</v>
      </c>
      <c r="D47" s="147" t="s">
        <v>92</v>
      </c>
      <c r="E47" s="112" t="s">
        <v>8</v>
      </c>
      <c r="F47" s="20">
        <f>2.5*1.5</f>
        <v>3.75</v>
      </c>
      <c r="G47" s="13">
        <v>12.56</v>
      </c>
      <c r="H47" s="13">
        <f t="shared" si="17"/>
        <v>15.382232</v>
      </c>
      <c r="I47" s="13">
        <f t="shared" si="10"/>
        <v>57.683370000000004</v>
      </c>
      <c r="J47" s="33"/>
      <c r="K47" s="34"/>
      <c r="L47" s="34"/>
    </row>
    <row r="48" spans="1:12" x14ac:dyDescent="0.25">
      <c r="A48" s="164">
        <v>29</v>
      </c>
      <c r="B48" s="154" t="s">
        <v>153</v>
      </c>
      <c r="C48" s="144" t="s">
        <v>152</v>
      </c>
      <c r="D48" s="141" t="s">
        <v>151</v>
      </c>
      <c r="E48" s="112" t="s">
        <v>89</v>
      </c>
      <c r="F48" s="20">
        <f>10.64*1.6*0.05</f>
        <v>0.85120000000000007</v>
      </c>
      <c r="G48" s="13">
        <v>151.85</v>
      </c>
      <c r="H48" s="13">
        <f t="shared" si="17"/>
        <v>185.97069499999998</v>
      </c>
      <c r="I48" s="13">
        <f t="shared" si="10"/>
        <v>158.298255584</v>
      </c>
      <c r="J48" s="33"/>
      <c r="K48" s="34"/>
      <c r="L48" s="34"/>
    </row>
    <row r="49" spans="1:14" x14ac:dyDescent="0.25">
      <c r="A49" s="164">
        <v>30</v>
      </c>
      <c r="B49" s="211" t="s">
        <v>81</v>
      </c>
      <c r="C49" s="211"/>
      <c r="D49" s="211"/>
      <c r="E49" s="211"/>
      <c r="F49" s="211"/>
      <c r="G49" s="211"/>
      <c r="H49" s="211"/>
      <c r="I49" s="30">
        <f>SUM(I50:I131)</f>
        <v>144682.99024896999</v>
      </c>
      <c r="J49" s="41"/>
      <c r="K49" s="34"/>
      <c r="L49" s="34"/>
      <c r="M49" s="32"/>
      <c r="N49" s="32"/>
    </row>
    <row r="50" spans="1:14" ht="75" x14ac:dyDescent="0.25">
      <c r="A50" s="164">
        <v>31</v>
      </c>
      <c r="B50" s="209" t="s">
        <v>104</v>
      </c>
      <c r="C50" s="112" t="s">
        <v>150</v>
      </c>
      <c r="D50" s="163" t="s">
        <v>147</v>
      </c>
      <c r="E50" s="112" t="s">
        <v>146</v>
      </c>
      <c r="F50" s="112">
        <v>6</v>
      </c>
      <c r="G50" s="112">
        <v>12</v>
      </c>
      <c r="H50" s="13">
        <f t="shared" ref="H50:H51" si="18">G50+G50*B$18</f>
        <v>14.696400000000001</v>
      </c>
      <c r="I50" s="13">
        <f t="shared" ref="I50:I51" si="19">H50*F50</f>
        <v>88.178400000000011</v>
      </c>
      <c r="J50" s="41"/>
      <c r="K50" s="34"/>
      <c r="L50" s="34"/>
      <c r="M50" s="32"/>
      <c r="N50" s="32"/>
    </row>
    <row r="51" spans="1:14" ht="45" x14ac:dyDescent="0.25">
      <c r="A51" s="164">
        <v>32</v>
      </c>
      <c r="B51" s="209"/>
      <c r="C51" s="112" t="s">
        <v>149</v>
      </c>
      <c r="D51" s="163" t="s">
        <v>148</v>
      </c>
      <c r="E51" s="112" t="s">
        <v>19</v>
      </c>
      <c r="F51" s="112">
        <v>6</v>
      </c>
      <c r="G51" s="142">
        <v>6.52</v>
      </c>
      <c r="H51" s="13">
        <f t="shared" si="18"/>
        <v>7.9850439999999994</v>
      </c>
      <c r="I51" s="13">
        <f t="shared" si="19"/>
        <v>47.910263999999998</v>
      </c>
      <c r="J51" s="41"/>
      <c r="K51" s="34"/>
      <c r="L51" s="34"/>
      <c r="M51" s="32"/>
      <c r="N51" s="32"/>
    </row>
    <row r="52" spans="1:14" ht="60" x14ac:dyDescent="0.25">
      <c r="A52" s="164">
        <v>33</v>
      </c>
      <c r="B52" s="210" t="s">
        <v>111</v>
      </c>
      <c r="C52" s="160" t="s">
        <v>18</v>
      </c>
      <c r="D52" s="163" t="s">
        <v>9</v>
      </c>
      <c r="E52" s="112" t="s">
        <v>8</v>
      </c>
      <c r="F52" s="20">
        <f>46.38</f>
        <v>46.38</v>
      </c>
      <c r="G52" s="13">
        <v>38.659999999999997</v>
      </c>
      <c r="H52" s="13">
        <f>G52+G52*B$18</f>
        <v>47.346902</v>
      </c>
      <c r="I52" s="13">
        <f t="shared" ref="I52:I55" si="20">H52*F52</f>
        <v>2195.9493147600001</v>
      </c>
      <c r="J52" s="41"/>
      <c r="K52" s="93"/>
      <c r="L52" s="34"/>
      <c r="M52" s="32"/>
      <c r="N52" s="32"/>
    </row>
    <row r="53" spans="1:14" ht="60" x14ac:dyDescent="0.25">
      <c r="A53" s="164">
        <v>34</v>
      </c>
      <c r="B53" s="210"/>
      <c r="C53" s="160" t="s">
        <v>12</v>
      </c>
      <c r="D53" s="163" t="s">
        <v>14</v>
      </c>
      <c r="E53" s="112" t="s">
        <v>8</v>
      </c>
      <c r="F53" s="20">
        <f>2*F52</f>
        <v>92.76</v>
      </c>
      <c r="G53" s="13">
        <v>5.51</v>
      </c>
      <c r="H53" s="13">
        <f t="shared" ref="H53:H55" si="21">G53+G53*B$18</f>
        <v>6.7480969999999996</v>
      </c>
      <c r="I53" s="13">
        <f t="shared" si="20"/>
        <v>625.95347772000002</v>
      </c>
      <c r="J53" s="41"/>
      <c r="K53" s="93"/>
      <c r="L53" s="34"/>
      <c r="M53" s="32"/>
      <c r="N53" s="32"/>
    </row>
    <row r="54" spans="1:14" ht="45" x14ac:dyDescent="0.25">
      <c r="A54" s="164">
        <v>35</v>
      </c>
      <c r="B54" s="210"/>
      <c r="C54" s="160" t="s">
        <v>13</v>
      </c>
      <c r="D54" s="163" t="s">
        <v>15</v>
      </c>
      <c r="E54" s="112" t="s">
        <v>8</v>
      </c>
      <c r="F54" s="20">
        <f>F53</f>
        <v>92.76</v>
      </c>
      <c r="G54" s="13">
        <v>20.43</v>
      </c>
      <c r="H54" s="13">
        <f t="shared" si="21"/>
        <v>25.020620999999998</v>
      </c>
      <c r="I54" s="13">
        <f t="shared" si="20"/>
        <v>2320.91280396</v>
      </c>
      <c r="J54" s="41"/>
      <c r="K54" s="93"/>
      <c r="L54" s="34"/>
      <c r="M54" s="32"/>
      <c r="N54" s="32"/>
    </row>
    <row r="55" spans="1:14" ht="45" x14ac:dyDescent="0.25">
      <c r="A55" s="164">
        <v>36</v>
      </c>
      <c r="B55" s="210"/>
      <c r="C55" s="160" t="s">
        <v>17</v>
      </c>
      <c r="D55" s="163" t="s">
        <v>16</v>
      </c>
      <c r="E55" s="112" t="s">
        <v>8</v>
      </c>
      <c r="F55" s="20">
        <f>F54</f>
        <v>92.76</v>
      </c>
      <c r="G55" s="13">
        <v>19.2</v>
      </c>
      <c r="H55" s="13">
        <f t="shared" si="21"/>
        <v>23.514240000000001</v>
      </c>
      <c r="I55" s="13">
        <f t="shared" si="20"/>
        <v>2181.1809024000004</v>
      </c>
      <c r="J55" s="41"/>
      <c r="K55" s="93"/>
      <c r="L55" s="34"/>
      <c r="M55" s="32"/>
      <c r="N55" s="32"/>
    </row>
    <row r="56" spans="1:14" ht="60" x14ac:dyDescent="0.25">
      <c r="A56" s="164">
        <v>37</v>
      </c>
      <c r="B56" s="210" t="s">
        <v>111</v>
      </c>
      <c r="C56" s="160" t="s">
        <v>18</v>
      </c>
      <c r="D56" s="163" t="s">
        <v>9</v>
      </c>
      <c r="E56" s="112" t="s">
        <v>8</v>
      </c>
      <c r="F56" s="20">
        <f>46.98-13.53</f>
        <v>33.449999999999996</v>
      </c>
      <c r="G56" s="13">
        <v>38.659999999999997</v>
      </c>
      <c r="H56" s="13">
        <f>G56+G56*B$18</f>
        <v>47.346902</v>
      </c>
      <c r="I56" s="13">
        <f t="shared" ref="I56:I83" si="22">H56*F56</f>
        <v>1583.7538718999997</v>
      </c>
      <c r="J56" s="41"/>
      <c r="K56" s="93"/>
      <c r="L56" s="34"/>
      <c r="M56" s="32"/>
      <c r="N56" s="32"/>
    </row>
    <row r="57" spans="1:14" ht="60" x14ac:dyDescent="0.25">
      <c r="A57" s="164">
        <v>38</v>
      </c>
      <c r="B57" s="210"/>
      <c r="C57" s="160" t="s">
        <v>12</v>
      </c>
      <c r="D57" s="163" t="s">
        <v>14</v>
      </c>
      <c r="E57" s="112" t="s">
        <v>8</v>
      </c>
      <c r="F57" s="20">
        <f>2*F56</f>
        <v>66.899999999999991</v>
      </c>
      <c r="G57" s="13">
        <v>5.51</v>
      </c>
      <c r="H57" s="13">
        <f t="shared" ref="H57:H59" si="23">G57+G57*B$18</f>
        <v>6.7480969999999996</v>
      </c>
      <c r="I57" s="13">
        <f t="shared" si="22"/>
        <v>451.44768929999992</v>
      </c>
      <c r="J57" s="41"/>
      <c r="K57" s="93"/>
      <c r="L57" s="34"/>
      <c r="M57" s="32"/>
      <c r="N57" s="32"/>
    </row>
    <row r="58" spans="1:14" ht="45" x14ac:dyDescent="0.25">
      <c r="A58" s="164">
        <v>39</v>
      </c>
      <c r="B58" s="210"/>
      <c r="C58" s="160" t="s">
        <v>13</v>
      </c>
      <c r="D58" s="163" t="s">
        <v>15</v>
      </c>
      <c r="E58" s="112" t="s">
        <v>8</v>
      </c>
      <c r="F58" s="20">
        <f>F57</f>
        <v>66.899999999999991</v>
      </c>
      <c r="G58" s="13">
        <v>20.43</v>
      </c>
      <c r="H58" s="13">
        <f t="shared" si="23"/>
        <v>25.020620999999998</v>
      </c>
      <c r="I58" s="13">
        <f t="shared" si="22"/>
        <v>1673.8795448999997</v>
      </c>
      <c r="J58" s="41"/>
      <c r="K58" s="93"/>
      <c r="L58" s="34"/>
      <c r="M58" s="32"/>
      <c r="N58" s="32"/>
    </row>
    <row r="59" spans="1:14" ht="45" x14ac:dyDescent="0.25">
      <c r="A59" s="164">
        <v>40</v>
      </c>
      <c r="B59" s="210"/>
      <c r="C59" s="160" t="s">
        <v>17</v>
      </c>
      <c r="D59" s="163" t="s">
        <v>16</v>
      </c>
      <c r="E59" s="112" t="s">
        <v>8</v>
      </c>
      <c r="F59" s="20">
        <f>F58</f>
        <v>66.899999999999991</v>
      </c>
      <c r="G59" s="13">
        <v>19.2</v>
      </c>
      <c r="H59" s="13">
        <f t="shared" si="23"/>
        <v>23.514240000000001</v>
      </c>
      <c r="I59" s="13">
        <f t="shared" si="22"/>
        <v>1573.1026559999998</v>
      </c>
      <c r="J59" s="41"/>
      <c r="K59" s="93"/>
      <c r="L59" s="34"/>
      <c r="M59" s="32"/>
      <c r="N59" s="32"/>
    </row>
    <row r="60" spans="1:14" ht="60" x14ac:dyDescent="0.25">
      <c r="A60" s="164">
        <v>41</v>
      </c>
      <c r="B60" s="210" t="s">
        <v>111</v>
      </c>
      <c r="C60" s="160" t="s">
        <v>18</v>
      </c>
      <c r="D60" s="163" t="s">
        <v>9</v>
      </c>
      <c r="E60" s="112" t="s">
        <v>8</v>
      </c>
      <c r="F60" s="20">
        <f>29.76-3.36</f>
        <v>26.400000000000002</v>
      </c>
      <c r="G60" s="13">
        <v>38.659999999999997</v>
      </c>
      <c r="H60" s="13">
        <f>G60+G60*B$18</f>
        <v>47.346902</v>
      </c>
      <c r="I60" s="13">
        <f t="shared" si="22"/>
        <v>1249.9582128000002</v>
      </c>
      <c r="J60" s="41"/>
      <c r="K60" s="34"/>
      <c r="L60" s="34"/>
      <c r="M60" s="32"/>
      <c r="N60" s="32"/>
    </row>
    <row r="61" spans="1:14" ht="60" x14ac:dyDescent="0.25">
      <c r="A61" s="164">
        <v>42</v>
      </c>
      <c r="B61" s="210"/>
      <c r="C61" s="160" t="s">
        <v>12</v>
      </c>
      <c r="D61" s="163" t="s">
        <v>14</v>
      </c>
      <c r="E61" s="112" t="s">
        <v>8</v>
      </c>
      <c r="F61" s="20">
        <f>2*F60</f>
        <v>52.800000000000004</v>
      </c>
      <c r="G61" s="13">
        <v>5.51</v>
      </c>
      <c r="H61" s="13">
        <f t="shared" ref="H61:H63" si="24">G61+G61*B$18</f>
        <v>6.7480969999999996</v>
      </c>
      <c r="I61" s="13">
        <f t="shared" si="22"/>
        <v>356.29952159999999</v>
      </c>
      <c r="J61" s="41"/>
      <c r="K61" s="34"/>
      <c r="L61" s="34"/>
      <c r="M61" s="32"/>
      <c r="N61" s="32"/>
    </row>
    <row r="62" spans="1:14" ht="45" x14ac:dyDescent="0.25">
      <c r="A62" s="164">
        <v>43</v>
      </c>
      <c r="B62" s="210"/>
      <c r="C62" s="160" t="s">
        <v>13</v>
      </c>
      <c r="D62" s="163" t="s">
        <v>15</v>
      </c>
      <c r="E62" s="112" t="s">
        <v>8</v>
      </c>
      <c r="F62" s="20">
        <f>F61</f>
        <v>52.800000000000004</v>
      </c>
      <c r="G62" s="13">
        <v>20.43</v>
      </c>
      <c r="H62" s="13">
        <f t="shared" si="24"/>
        <v>25.020620999999998</v>
      </c>
      <c r="I62" s="13">
        <f t="shared" si="22"/>
        <v>1321.0887888</v>
      </c>
      <c r="J62" s="41"/>
      <c r="K62" s="34"/>
      <c r="L62" s="34"/>
      <c r="M62" s="32"/>
      <c r="N62" s="32"/>
    </row>
    <row r="63" spans="1:14" ht="45" x14ac:dyDescent="0.25">
      <c r="A63" s="164">
        <v>44</v>
      </c>
      <c r="B63" s="210"/>
      <c r="C63" s="160" t="s">
        <v>17</v>
      </c>
      <c r="D63" s="163" t="s">
        <v>16</v>
      </c>
      <c r="E63" s="112" t="s">
        <v>8</v>
      </c>
      <c r="F63" s="20">
        <f>F62</f>
        <v>52.800000000000004</v>
      </c>
      <c r="G63" s="13">
        <v>19.2</v>
      </c>
      <c r="H63" s="13">
        <f t="shared" si="24"/>
        <v>23.514240000000001</v>
      </c>
      <c r="I63" s="13">
        <f t="shared" si="22"/>
        <v>1241.5518720000002</v>
      </c>
      <c r="J63" s="41"/>
      <c r="K63" s="34"/>
      <c r="L63" s="34"/>
      <c r="M63" s="32"/>
      <c r="N63" s="32"/>
    </row>
    <row r="64" spans="1:14" ht="60" x14ac:dyDescent="0.25">
      <c r="A64" s="164">
        <v>45</v>
      </c>
      <c r="B64" s="210" t="s">
        <v>111</v>
      </c>
      <c r="C64" s="160" t="s">
        <v>18</v>
      </c>
      <c r="D64" s="163" t="s">
        <v>9</v>
      </c>
      <c r="E64" s="112" t="s">
        <v>8</v>
      </c>
      <c r="F64" s="20">
        <f>43.24-4.08-6.18</f>
        <v>32.980000000000004</v>
      </c>
      <c r="G64" s="13">
        <v>38.659999999999997</v>
      </c>
      <c r="H64" s="13">
        <f>G64+G64*B$18</f>
        <v>47.346902</v>
      </c>
      <c r="I64" s="13">
        <f t="shared" si="22"/>
        <v>1561.5008279600002</v>
      </c>
      <c r="J64" s="41"/>
      <c r="K64" s="34"/>
      <c r="L64" s="34"/>
      <c r="M64" s="32"/>
      <c r="N64" s="32"/>
    </row>
    <row r="65" spans="1:14" ht="60" x14ac:dyDescent="0.25">
      <c r="A65" s="164">
        <v>46</v>
      </c>
      <c r="B65" s="210"/>
      <c r="C65" s="160" t="s">
        <v>12</v>
      </c>
      <c r="D65" s="163" t="s">
        <v>14</v>
      </c>
      <c r="E65" s="112" t="s">
        <v>8</v>
      </c>
      <c r="F65" s="20">
        <f>2*F64</f>
        <v>65.960000000000008</v>
      </c>
      <c r="G65" s="13">
        <v>5.51</v>
      </c>
      <c r="H65" s="13">
        <f t="shared" ref="H65:H67" si="25">G65+G65*B$18</f>
        <v>6.7480969999999996</v>
      </c>
      <c r="I65" s="13">
        <f t="shared" si="22"/>
        <v>445.10447812000001</v>
      </c>
      <c r="J65" s="41"/>
      <c r="K65" s="34"/>
      <c r="L65" s="34"/>
      <c r="M65" s="32"/>
      <c r="N65" s="32"/>
    </row>
    <row r="66" spans="1:14" ht="45" x14ac:dyDescent="0.25">
      <c r="A66" s="164">
        <v>47</v>
      </c>
      <c r="B66" s="210"/>
      <c r="C66" s="160" t="s">
        <v>13</v>
      </c>
      <c r="D66" s="163" t="s">
        <v>15</v>
      </c>
      <c r="E66" s="112" t="s">
        <v>8</v>
      </c>
      <c r="F66" s="20">
        <f>F65</f>
        <v>65.960000000000008</v>
      </c>
      <c r="G66" s="13">
        <v>20.43</v>
      </c>
      <c r="H66" s="13">
        <f t="shared" si="25"/>
        <v>25.020620999999998</v>
      </c>
      <c r="I66" s="13">
        <f t="shared" si="22"/>
        <v>1650.3601611600002</v>
      </c>
      <c r="J66" s="41"/>
      <c r="K66" s="34"/>
      <c r="L66" s="34"/>
      <c r="M66" s="32"/>
      <c r="N66" s="32"/>
    </row>
    <row r="67" spans="1:14" ht="45" x14ac:dyDescent="0.25">
      <c r="A67" s="164">
        <v>48</v>
      </c>
      <c r="B67" s="210"/>
      <c r="C67" s="160" t="s">
        <v>17</v>
      </c>
      <c r="D67" s="163" t="s">
        <v>16</v>
      </c>
      <c r="E67" s="112" t="s">
        <v>8</v>
      </c>
      <c r="F67" s="20">
        <f>F66</f>
        <v>65.960000000000008</v>
      </c>
      <c r="G67" s="13">
        <v>19.2</v>
      </c>
      <c r="H67" s="13">
        <f t="shared" si="25"/>
        <v>23.514240000000001</v>
      </c>
      <c r="I67" s="13">
        <f t="shared" si="22"/>
        <v>1550.9992704000003</v>
      </c>
      <c r="J67" s="41"/>
      <c r="K67" s="34"/>
      <c r="L67" s="34"/>
      <c r="M67" s="32"/>
      <c r="N67" s="32"/>
    </row>
    <row r="68" spans="1:14" ht="60" x14ac:dyDescent="0.25">
      <c r="A68" s="164">
        <v>49</v>
      </c>
      <c r="B68" s="210" t="s">
        <v>111</v>
      </c>
      <c r="C68" s="160" t="s">
        <v>18</v>
      </c>
      <c r="D68" s="163" t="s">
        <v>9</v>
      </c>
      <c r="E68" s="112" t="s">
        <v>8</v>
      </c>
      <c r="F68" s="20">
        <f>51.24-6.18</f>
        <v>45.06</v>
      </c>
      <c r="G68" s="13">
        <v>38.659999999999997</v>
      </c>
      <c r="H68" s="13">
        <f>G68+G68*B$18</f>
        <v>47.346902</v>
      </c>
      <c r="I68" s="13">
        <f t="shared" si="22"/>
        <v>2133.45140412</v>
      </c>
      <c r="J68" s="41"/>
      <c r="K68" s="34"/>
      <c r="L68" s="34"/>
      <c r="M68" s="32"/>
      <c r="N68" s="32"/>
    </row>
    <row r="69" spans="1:14" ht="60" x14ac:dyDescent="0.25">
      <c r="A69" s="164">
        <v>50</v>
      </c>
      <c r="B69" s="210"/>
      <c r="C69" s="160" t="s">
        <v>12</v>
      </c>
      <c r="D69" s="163" t="s">
        <v>14</v>
      </c>
      <c r="E69" s="112" t="s">
        <v>8</v>
      </c>
      <c r="F69" s="20">
        <f>2*F68</f>
        <v>90.12</v>
      </c>
      <c r="G69" s="13">
        <v>5.51</v>
      </c>
      <c r="H69" s="13">
        <f t="shared" ref="H69:H71" si="26">G69+G69*B$18</f>
        <v>6.7480969999999996</v>
      </c>
      <c r="I69" s="13">
        <f t="shared" si="22"/>
        <v>608.13850163999996</v>
      </c>
      <c r="J69" s="41"/>
      <c r="K69" s="34"/>
      <c r="L69" s="34"/>
      <c r="M69" s="32"/>
      <c r="N69" s="32"/>
    </row>
    <row r="70" spans="1:14" ht="45" x14ac:dyDescent="0.25">
      <c r="A70" s="164">
        <v>51</v>
      </c>
      <c r="B70" s="210"/>
      <c r="C70" s="160" t="s">
        <v>13</v>
      </c>
      <c r="D70" s="163" t="s">
        <v>15</v>
      </c>
      <c r="E70" s="112" t="s">
        <v>8</v>
      </c>
      <c r="F70" s="20">
        <f>F69</f>
        <v>90.12</v>
      </c>
      <c r="G70" s="13">
        <v>20.43</v>
      </c>
      <c r="H70" s="13">
        <f t="shared" si="26"/>
        <v>25.020620999999998</v>
      </c>
      <c r="I70" s="13">
        <f t="shared" si="22"/>
        <v>2254.8583645200001</v>
      </c>
      <c r="J70" s="41"/>
      <c r="K70" s="34"/>
      <c r="L70" s="34"/>
      <c r="M70" s="32"/>
      <c r="N70" s="32"/>
    </row>
    <row r="71" spans="1:14" ht="45" x14ac:dyDescent="0.25">
      <c r="A71" s="164">
        <v>52</v>
      </c>
      <c r="B71" s="210"/>
      <c r="C71" s="160" t="s">
        <v>17</v>
      </c>
      <c r="D71" s="163" t="s">
        <v>16</v>
      </c>
      <c r="E71" s="112" t="s">
        <v>8</v>
      </c>
      <c r="F71" s="20">
        <f>F70</f>
        <v>90.12</v>
      </c>
      <c r="G71" s="13">
        <v>19.2</v>
      </c>
      <c r="H71" s="13">
        <f t="shared" si="26"/>
        <v>23.514240000000001</v>
      </c>
      <c r="I71" s="13">
        <f t="shared" si="22"/>
        <v>2119.1033088000004</v>
      </c>
      <c r="J71" s="41"/>
      <c r="K71" s="34"/>
      <c r="L71" s="34"/>
      <c r="M71" s="32"/>
      <c r="N71" s="32"/>
    </row>
    <row r="72" spans="1:14" ht="60" x14ac:dyDescent="0.25">
      <c r="A72" s="164">
        <v>53</v>
      </c>
      <c r="B72" s="210" t="s">
        <v>111</v>
      </c>
      <c r="C72" s="160" t="s">
        <v>18</v>
      </c>
      <c r="D72" s="163" t="s">
        <v>9</v>
      </c>
      <c r="E72" s="112" t="s">
        <v>8</v>
      </c>
      <c r="F72" s="20">
        <f>26.76</f>
        <v>26.76</v>
      </c>
      <c r="G72" s="13">
        <v>38.659999999999997</v>
      </c>
      <c r="H72" s="13">
        <f>G72+G72*B$18</f>
        <v>47.346902</v>
      </c>
      <c r="I72" s="13">
        <f t="shared" si="22"/>
        <v>1267.00309752</v>
      </c>
      <c r="J72" s="41"/>
      <c r="K72" s="34"/>
      <c r="L72" s="34"/>
      <c r="M72" s="32"/>
      <c r="N72" s="32"/>
    </row>
    <row r="73" spans="1:14" ht="60" x14ac:dyDescent="0.25">
      <c r="A73" s="164">
        <v>54</v>
      </c>
      <c r="B73" s="210"/>
      <c r="C73" s="160" t="s">
        <v>12</v>
      </c>
      <c r="D73" s="163" t="s">
        <v>14</v>
      </c>
      <c r="E73" s="112" t="s">
        <v>8</v>
      </c>
      <c r="F73" s="20">
        <f>2*F72</f>
        <v>53.52</v>
      </c>
      <c r="G73" s="13">
        <v>5.51</v>
      </c>
      <c r="H73" s="13">
        <f t="shared" ref="H73:H75" si="27">G73+G73*B$18</f>
        <v>6.7480969999999996</v>
      </c>
      <c r="I73" s="13">
        <f t="shared" si="22"/>
        <v>361.15815143999998</v>
      </c>
      <c r="J73" s="41"/>
      <c r="K73" s="34"/>
      <c r="L73" s="34"/>
      <c r="M73" s="32"/>
      <c r="N73" s="32"/>
    </row>
    <row r="74" spans="1:14" ht="45" x14ac:dyDescent="0.25">
      <c r="A74" s="164">
        <v>55</v>
      </c>
      <c r="B74" s="210"/>
      <c r="C74" s="160" t="s">
        <v>13</v>
      </c>
      <c r="D74" s="163" t="s">
        <v>15</v>
      </c>
      <c r="E74" s="112" t="s">
        <v>8</v>
      </c>
      <c r="F74" s="20">
        <f>F73</f>
        <v>53.52</v>
      </c>
      <c r="G74" s="13">
        <v>20.43</v>
      </c>
      <c r="H74" s="13">
        <f t="shared" si="27"/>
        <v>25.020620999999998</v>
      </c>
      <c r="I74" s="13">
        <f t="shared" si="22"/>
        <v>1339.10363592</v>
      </c>
      <c r="J74" s="41"/>
      <c r="K74" s="34"/>
      <c r="L74" s="34"/>
      <c r="M74" s="32"/>
      <c r="N74" s="32"/>
    </row>
    <row r="75" spans="1:14" ht="45" x14ac:dyDescent="0.25">
      <c r="A75" s="164">
        <v>56</v>
      </c>
      <c r="B75" s="210"/>
      <c r="C75" s="160" t="s">
        <v>17</v>
      </c>
      <c r="D75" s="163" t="s">
        <v>16</v>
      </c>
      <c r="E75" s="112" t="s">
        <v>8</v>
      </c>
      <c r="F75" s="20">
        <f>F74</f>
        <v>53.52</v>
      </c>
      <c r="G75" s="13">
        <v>19.2</v>
      </c>
      <c r="H75" s="13">
        <f t="shared" si="27"/>
        <v>23.514240000000001</v>
      </c>
      <c r="I75" s="13">
        <f t="shared" si="22"/>
        <v>1258.4821248000001</v>
      </c>
      <c r="J75" s="41"/>
      <c r="K75" s="34"/>
      <c r="L75" s="34"/>
      <c r="M75" s="32"/>
      <c r="N75" s="32"/>
    </row>
    <row r="76" spans="1:14" ht="60" x14ac:dyDescent="0.25">
      <c r="A76" s="164">
        <v>57</v>
      </c>
      <c r="B76" s="210" t="s">
        <v>111</v>
      </c>
      <c r="C76" s="160" t="s">
        <v>18</v>
      </c>
      <c r="D76" s="163" t="s">
        <v>9</v>
      </c>
      <c r="E76" s="112" t="s">
        <v>8</v>
      </c>
      <c r="F76" s="20">
        <f>25.64-4.83</f>
        <v>20.810000000000002</v>
      </c>
      <c r="G76" s="13">
        <v>38.659999999999997</v>
      </c>
      <c r="H76" s="13">
        <f>G76+G76*B$18</f>
        <v>47.346902</v>
      </c>
      <c r="I76" s="13">
        <f t="shared" si="22"/>
        <v>985.28903062000006</v>
      </c>
      <c r="J76" s="41"/>
      <c r="K76" s="34"/>
      <c r="L76" s="34"/>
      <c r="M76" s="32"/>
      <c r="N76" s="32"/>
    </row>
    <row r="77" spans="1:14" ht="60" x14ac:dyDescent="0.25">
      <c r="A77" s="164">
        <v>58</v>
      </c>
      <c r="B77" s="210"/>
      <c r="C77" s="160" t="s">
        <v>12</v>
      </c>
      <c r="D77" s="163" t="s">
        <v>14</v>
      </c>
      <c r="E77" s="112" t="s">
        <v>8</v>
      </c>
      <c r="F77" s="20">
        <f>2*F76</f>
        <v>41.620000000000005</v>
      </c>
      <c r="G77" s="13">
        <v>5.51</v>
      </c>
      <c r="H77" s="13">
        <f t="shared" ref="H77:H79" si="28">G77+G77*B$18</f>
        <v>6.7480969999999996</v>
      </c>
      <c r="I77" s="13">
        <f t="shared" si="22"/>
        <v>280.85579713999999</v>
      </c>
      <c r="J77" s="41"/>
      <c r="K77" s="34"/>
      <c r="L77" s="34"/>
      <c r="M77" s="32"/>
      <c r="N77" s="32"/>
    </row>
    <row r="78" spans="1:14" ht="45" x14ac:dyDescent="0.25">
      <c r="A78" s="164">
        <v>59</v>
      </c>
      <c r="B78" s="210"/>
      <c r="C78" s="160" t="s">
        <v>13</v>
      </c>
      <c r="D78" s="163" t="s">
        <v>15</v>
      </c>
      <c r="E78" s="112" t="s">
        <v>8</v>
      </c>
      <c r="F78" s="20">
        <f>F77</f>
        <v>41.620000000000005</v>
      </c>
      <c r="G78" s="13">
        <v>20.43</v>
      </c>
      <c r="H78" s="13">
        <f t="shared" si="28"/>
        <v>25.020620999999998</v>
      </c>
      <c r="I78" s="13">
        <f t="shared" si="22"/>
        <v>1041.35824602</v>
      </c>
      <c r="J78" s="41"/>
      <c r="K78" s="34"/>
      <c r="L78" s="34"/>
      <c r="M78" s="32"/>
      <c r="N78" s="32"/>
    </row>
    <row r="79" spans="1:14" ht="45" x14ac:dyDescent="0.25">
      <c r="A79" s="164">
        <v>60</v>
      </c>
      <c r="B79" s="210"/>
      <c r="C79" s="160" t="s">
        <v>17</v>
      </c>
      <c r="D79" s="163" t="s">
        <v>16</v>
      </c>
      <c r="E79" s="112" t="s">
        <v>8</v>
      </c>
      <c r="F79" s="20">
        <f>F78</f>
        <v>41.620000000000005</v>
      </c>
      <c r="G79" s="13">
        <v>19.2</v>
      </c>
      <c r="H79" s="13">
        <f t="shared" si="28"/>
        <v>23.514240000000001</v>
      </c>
      <c r="I79" s="13">
        <f t="shared" si="22"/>
        <v>978.66266880000012</v>
      </c>
      <c r="J79" s="41"/>
      <c r="K79" s="34"/>
      <c r="L79" s="34"/>
      <c r="M79" s="32"/>
      <c r="N79" s="32"/>
    </row>
    <row r="80" spans="1:14" ht="60" x14ac:dyDescent="0.25">
      <c r="A80" s="164">
        <v>61</v>
      </c>
      <c r="B80" s="210" t="s">
        <v>111</v>
      </c>
      <c r="C80" s="160" t="s">
        <v>18</v>
      </c>
      <c r="D80" s="163" t="s">
        <v>9</v>
      </c>
      <c r="E80" s="112" t="s">
        <v>8</v>
      </c>
      <c r="F80" s="20">
        <f>26.76-4.83</f>
        <v>21.93</v>
      </c>
      <c r="G80" s="13">
        <v>38.659999999999997</v>
      </c>
      <c r="H80" s="13">
        <f>G80+G80*B$18</f>
        <v>47.346902</v>
      </c>
      <c r="I80" s="13">
        <f t="shared" si="22"/>
        <v>1038.31756086</v>
      </c>
      <c r="J80" s="33"/>
      <c r="K80" s="34"/>
      <c r="L80" s="34"/>
      <c r="M80" s="32"/>
      <c r="N80" s="32"/>
    </row>
    <row r="81" spans="1:14" ht="60" x14ac:dyDescent="0.25">
      <c r="A81" s="164">
        <v>62</v>
      </c>
      <c r="B81" s="210"/>
      <c r="C81" s="160" t="s">
        <v>12</v>
      </c>
      <c r="D81" s="163" t="s">
        <v>14</v>
      </c>
      <c r="E81" s="112" t="s">
        <v>8</v>
      </c>
      <c r="F81" s="20">
        <f>2*F80</f>
        <v>43.86</v>
      </c>
      <c r="G81" s="13">
        <v>5.51</v>
      </c>
      <c r="H81" s="13">
        <f t="shared" ref="H81:H83" si="29">G81+G81*B$18</f>
        <v>6.7480969999999996</v>
      </c>
      <c r="I81" s="13">
        <f t="shared" si="22"/>
        <v>295.97153441999995</v>
      </c>
      <c r="J81" s="33"/>
      <c r="K81" s="34"/>
      <c r="L81" s="34"/>
      <c r="M81" s="32"/>
      <c r="N81" s="32"/>
    </row>
    <row r="82" spans="1:14" ht="45" x14ac:dyDescent="0.25">
      <c r="A82" s="164">
        <v>63</v>
      </c>
      <c r="B82" s="210"/>
      <c r="C82" s="160" t="s">
        <v>13</v>
      </c>
      <c r="D82" s="163" t="s">
        <v>15</v>
      </c>
      <c r="E82" s="112" t="s">
        <v>8</v>
      </c>
      <c r="F82" s="20">
        <f>F81</f>
        <v>43.86</v>
      </c>
      <c r="G82" s="13">
        <v>20.43</v>
      </c>
      <c r="H82" s="13">
        <f t="shared" si="29"/>
        <v>25.020620999999998</v>
      </c>
      <c r="I82" s="13">
        <f t="shared" si="22"/>
        <v>1097.40443706</v>
      </c>
      <c r="J82" s="33"/>
      <c r="K82" s="34"/>
      <c r="L82" s="34"/>
      <c r="M82" s="32"/>
      <c r="N82" s="32"/>
    </row>
    <row r="83" spans="1:14" ht="45" x14ac:dyDescent="0.25">
      <c r="A83" s="164">
        <v>64</v>
      </c>
      <c r="B83" s="210"/>
      <c r="C83" s="160" t="s">
        <v>17</v>
      </c>
      <c r="D83" s="163" t="s">
        <v>16</v>
      </c>
      <c r="E83" s="112" t="s">
        <v>8</v>
      </c>
      <c r="F83" s="20">
        <f>F82</f>
        <v>43.86</v>
      </c>
      <c r="G83" s="13">
        <v>19.2</v>
      </c>
      <c r="H83" s="13">
        <f t="shared" si="29"/>
        <v>23.514240000000001</v>
      </c>
      <c r="I83" s="13">
        <f t="shared" si="22"/>
        <v>1031.3345664000001</v>
      </c>
      <c r="J83" s="33"/>
      <c r="K83" s="34"/>
      <c r="L83" s="34"/>
      <c r="M83" s="32"/>
      <c r="N83" s="32"/>
    </row>
    <row r="84" spans="1:14" ht="30" customHeight="1" x14ac:dyDescent="0.25">
      <c r="A84" s="164">
        <v>65</v>
      </c>
      <c r="B84" s="154" t="s">
        <v>100</v>
      </c>
      <c r="C84" s="113" t="s">
        <v>78</v>
      </c>
      <c r="D84" s="42" t="s">
        <v>110</v>
      </c>
      <c r="E84" s="112" t="s">
        <v>8</v>
      </c>
      <c r="F84" s="20">
        <v>118.64</v>
      </c>
      <c r="G84" s="13">
        <v>67.319999999999993</v>
      </c>
      <c r="H84" s="13">
        <f t="shared" ref="H84:H131" si="30">G84+G84*B$18</f>
        <v>82.446803999999986</v>
      </c>
      <c r="I84" s="13">
        <f t="shared" ref="I84:I131" si="31">H84*F84</f>
        <v>9781.4888265599984</v>
      </c>
      <c r="J84" s="33"/>
      <c r="K84" s="34"/>
      <c r="L84" s="34"/>
      <c r="M84" s="32"/>
      <c r="N84" s="32"/>
    </row>
    <row r="85" spans="1:14" ht="30" customHeight="1" x14ac:dyDescent="0.25">
      <c r="A85" s="164">
        <v>66</v>
      </c>
      <c r="B85" s="154" t="s">
        <v>99</v>
      </c>
      <c r="C85" s="113" t="s">
        <v>78</v>
      </c>
      <c r="D85" s="42" t="s">
        <v>110</v>
      </c>
      <c r="E85" s="112" t="s">
        <v>8</v>
      </c>
      <c r="F85" s="20">
        <v>113.9</v>
      </c>
      <c r="G85" s="13">
        <v>67.319999999999993</v>
      </c>
      <c r="H85" s="13">
        <f t="shared" ref="H85:H98" si="32">G85+G85*B$18</f>
        <v>82.446803999999986</v>
      </c>
      <c r="I85" s="13">
        <f t="shared" ref="I85:I98" si="33">H85*F85</f>
        <v>9390.6909755999986</v>
      </c>
      <c r="J85" s="33"/>
      <c r="K85" s="34"/>
      <c r="L85" s="34"/>
      <c r="M85" s="32"/>
      <c r="N85" s="32"/>
    </row>
    <row r="86" spans="1:14" ht="30" customHeight="1" x14ac:dyDescent="0.25">
      <c r="A86" s="164">
        <v>67</v>
      </c>
      <c r="B86" s="154" t="s">
        <v>98</v>
      </c>
      <c r="C86" s="113" t="s">
        <v>78</v>
      </c>
      <c r="D86" s="42" t="s">
        <v>110</v>
      </c>
      <c r="E86" s="112" t="s">
        <v>8</v>
      </c>
      <c r="F86" s="20">
        <v>40.6</v>
      </c>
      <c r="G86" s="13">
        <v>67.319999999999993</v>
      </c>
      <c r="H86" s="13">
        <f t="shared" si="32"/>
        <v>82.446803999999986</v>
      </c>
      <c r="I86" s="13">
        <f t="shared" si="33"/>
        <v>3347.3402423999996</v>
      </c>
      <c r="J86" s="33"/>
      <c r="K86" s="34"/>
      <c r="L86" s="34"/>
      <c r="M86" s="32"/>
      <c r="N86" s="32"/>
    </row>
    <row r="87" spans="1:14" ht="30" customHeight="1" x14ac:dyDescent="0.25">
      <c r="A87" s="164">
        <v>68</v>
      </c>
      <c r="B87" s="154" t="s">
        <v>97</v>
      </c>
      <c r="C87" s="113" t="s">
        <v>78</v>
      </c>
      <c r="D87" s="42" t="s">
        <v>110</v>
      </c>
      <c r="E87" s="112" t="s">
        <v>8</v>
      </c>
      <c r="F87" s="20">
        <v>93.31</v>
      </c>
      <c r="G87" s="13">
        <v>67.319999999999993</v>
      </c>
      <c r="H87" s="13">
        <f t="shared" si="32"/>
        <v>82.446803999999986</v>
      </c>
      <c r="I87" s="13">
        <f t="shared" si="33"/>
        <v>7693.1112812399988</v>
      </c>
      <c r="J87" s="33"/>
      <c r="K87" s="34"/>
      <c r="L87" s="34"/>
      <c r="M87" s="32"/>
      <c r="N87" s="32"/>
    </row>
    <row r="88" spans="1:14" ht="30" customHeight="1" x14ac:dyDescent="0.25">
      <c r="A88" s="164">
        <v>69</v>
      </c>
      <c r="B88" s="154" t="s">
        <v>96</v>
      </c>
      <c r="C88" s="113" t="s">
        <v>78</v>
      </c>
      <c r="D88" s="42" t="s">
        <v>110</v>
      </c>
      <c r="E88" s="112" t="s">
        <v>8</v>
      </c>
      <c r="F88" s="20">
        <v>130.69</v>
      </c>
      <c r="G88" s="13">
        <v>67.319999999999993</v>
      </c>
      <c r="H88" s="13">
        <f t="shared" si="32"/>
        <v>82.446803999999986</v>
      </c>
      <c r="I88" s="13">
        <f t="shared" si="33"/>
        <v>10774.972814759998</v>
      </c>
      <c r="J88" s="33"/>
      <c r="K88" s="34"/>
      <c r="L88" s="34"/>
      <c r="M88" s="32"/>
      <c r="N88" s="32"/>
    </row>
    <row r="89" spans="1:14" ht="30" customHeight="1" x14ac:dyDescent="0.25">
      <c r="A89" s="164">
        <v>70</v>
      </c>
      <c r="B89" s="154" t="s">
        <v>95</v>
      </c>
      <c r="C89" s="113" t="s">
        <v>78</v>
      </c>
      <c r="D89" s="42" t="s">
        <v>110</v>
      </c>
      <c r="E89" s="112" t="s">
        <v>8</v>
      </c>
      <c r="F89" s="20">
        <v>41.4</v>
      </c>
      <c r="G89" s="13">
        <v>67.319999999999993</v>
      </c>
      <c r="H89" s="13">
        <f t="shared" si="32"/>
        <v>82.446803999999986</v>
      </c>
      <c r="I89" s="13">
        <f t="shared" si="33"/>
        <v>3413.2976855999991</v>
      </c>
      <c r="J89" s="33"/>
      <c r="K89" s="34"/>
      <c r="L89" s="34"/>
      <c r="M89" s="32"/>
      <c r="N89" s="32"/>
    </row>
    <row r="90" spans="1:14" ht="30" customHeight="1" x14ac:dyDescent="0.25">
      <c r="A90" s="164">
        <v>71</v>
      </c>
      <c r="B90" s="154" t="s">
        <v>94</v>
      </c>
      <c r="C90" s="113" t="s">
        <v>78</v>
      </c>
      <c r="D90" s="42" t="s">
        <v>110</v>
      </c>
      <c r="E90" s="112" t="s">
        <v>8</v>
      </c>
      <c r="F90" s="20">
        <v>38.590000000000003</v>
      </c>
      <c r="G90" s="13">
        <v>67.319999999999993</v>
      </c>
      <c r="H90" s="13">
        <f t="shared" si="32"/>
        <v>82.446803999999986</v>
      </c>
      <c r="I90" s="13">
        <f t="shared" si="33"/>
        <v>3181.6221663599999</v>
      </c>
      <c r="J90" s="33"/>
      <c r="K90" s="34"/>
      <c r="L90" s="34"/>
      <c r="M90" s="32"/>
      <c r="N90" s="32"/>
    </row>
    <row r="91" spans="1:14" ht="30" customHeight="1" x14ac:dyDescent="0.25">
      <c r="A91" s="164">
        <v>72</v>
      </c>
      <c r="B91" s="154" t="s">
        <v>93</v>
      </c>
      <c r="C91" s="113" t="s">
        <v>78</v>
      </c>
      <c r="D91" s="42" t="s">
        <v>110</v>
      </c>
      <c r="E91" s="112" t="s">
        <v>8</v>
      </c>
      <c r="F91" s="20">
        <v>41.49</v>
      </c>
      <c r="G91" s="13">
        <v>67.319999999999993</v>
      </c>
      <c r="H91" s="13">
        <f t="shared" si="32"/>
        <v>82.446803999999986</v>
      </c>
      <c r="I91" s="13">
        <f t="shared" si="33"/>
        <v>3420.7178979599994</v>
      </c>
      <c r="J91" s="33"/>
      <c r="K91" s="34"/>
      <c r="L91" s="34"/>
      <c r="M91" s="32"/>
      <c r="N91" s="32"/>
    </row>
    <row r="92" spans="1:14" ht="30" customHeight="1" x14ac:dyDescent="0.25">
      <c r="A92" s="164">
        <v>73</v>
      </c>
      <c r="B92" s="154" t="s">
        <v>100</v>
      </c>
      <c r="C92" s="113" t="s">
        <v>21</v>
      </c>
      <c r="D92" s="42" t="s">
        <v>20</v>
      </c>
      <c r="E92" s="112" t="s">
        <v>8</v>
      </c>
      <c r="F92" s="20">
        <v>118.64</v>
      </c>
      <c r="G92" s="13">
        <v>24</v>
      </c>
      <c r="H92" s="13">
        <f t="shared" si="32"/>
        <v>29.392800000000001</v>
      </c>
      <c r="I92" s="13">
        <f t="shared" si="33"/>
        <v>3487.1617920000003</v>
      </c>
      <c r="J92" s="33"/>
      <c r="K92" s="34"/>
      <c r="L92" s="34"/>
      <c r="M92" s="32"/>
      <c r="N92" s="32"/>
    </row>
    <row r="93" spans="1:14" ht="30" customHeight="1" x14ac:dyDescent="0.25">
      <c r="A93" s="164">
        <v>74</v>
      </c>
      <c r="B93" s="154" t="s">
        <v>99</v>
      </c>
      <c r="C93" s="113" t="s">
        <v>21</v>
      </c>
      <c r="D93" s="42" t="s">
        <v>20</v>
      </c>
      <c r="E93" s="112" t="s">
        <v>8</v>
      </c>
      <c r="F93" s="20">
        <v>113.9</v>
      </c>
      <c r="G93" s="13">
        <v>24</v>
      </c>
      <c r="H93" s="13">
        <f t="shared" si="32"/>
        <v>29.392800000000001</v>
      </c>
      <c r="I93" s="13">
        <f t="shared" si="33"/>
        <v>3347.8399200000003</v>
      </c>
      <c r="J93" s="33"/>
      <c r="K93" s="34"/>
      <c r="L93" s="34"/>
      <c r="M93" s="32"/>
      <c r="N93" s="32"/>
    </row>
    <row r="94" spans="1:14" ht="30" customHeight="1" x14ac:dyDescent="0.25">
      <c r="A94" s="164">
        <v>75</v>
      </c>
      <c r="B94" s="154" t="s">
        <v>98</v>
      </c>
      <c r="C94" s="113" t="s">
        <v>21</v>
      </c>
      <c r="D94" s="42" t="s">
        <v>20</v>
      </c>
      <c r="E94" s="112" t="s">
        <v>8</v>
      </c>
      <c r="F94" s="20">
        <v>40.6</v>
      </c>
      <c r="G94" s="13">
        <v>24</v>
      </c>
      <c r="H94" s="13">
        <f t="shared" si="32"/>
        <v>29.392800000000001</v>
      </c>
      <c r="I94" s="13">
        <f t="shared" si="33"/>
        <v>1193.3476800000001</v>
      </c>
      <c r="J94" s="33"/>
      <c r="K94" s="34"/>
      <c r="L94" s="34"/>
      <c r="M94" s="32"/>
      <c r="N94" s="32"/>
    </row>
    <row r="95" spans="1:14" ht="30" customHeight="1" x14ac:dyDescent="0.25">
      <c r="A95" s="164">
        <v>76</v>
      </c>
      <c r="B95" s="154" t="s">
        <v>97</v>
      </c>
      <c r="C95" s="113" t="s">
        <v>21</v>
      </c>
      <c r="D95" s="42" t="s">
        <v>20</v>
      </c>
      <c r="E95" s="112" t="s">
        <v>8</v>
      </c>
      <c r="F95" s="20">
        <v>93.31</v>
      </c>
      <c r="G95" s="13">
        <v>24</v>
      </c>
      <c r="H95" s="13">
        <f t="shared" si="32"/>
        <v>29.392800000000001</v>
      </c>
      <c r="I95" s="13">
        <f t="shared" si="33"/>
        <v>2742.6421680000003</v>
      </c>
      <c r="J95" s="33"/>
      <c r="K95" s="34"/>
      <c r="L95" s="34"/>
      <c r="M95" s="32"/>
      <c r="N95" s="32"/>
    </row>
    <row r="96" spans="1:14" ht="30" customHeight="1" x14ac:dyDescent="0.25">
      <c r="A96" s="164">
        <v>77</v>
      </c>
      <c r="B96" s="154" t="s">
        <v>96</v>
      </c>
      <c r="C96" s="113" t="s">
        <v>21</v>
      </c>
      <c r="D96" s="42" t="s">
        <v>20</v>
      </c>
      <c r="E96" s="112" t="s">
        <v>8</v>
      </c>
      <c r="F96" s="20">
        <v>130.69</v>
      </c>
      <c r="G96" s="13">
        <v>24</v>
      </c>
      <c r="H96" s="13">
        <f t="shared" si="32"/>
        <v>29.392800000000001</v>
      </c>
      <c r="I96" s="13">
        <f t="shared" si="33"/>
        <v>3841.3450320000002</v>
      </c>
      <c r="J96" s="33"/>
      <c r="K96" s="34"/>
      <c r="L96" s="34"/>
      <c r="M96" s="32"/>
      <c r="N96" s="32"/>
    </row>
    <row r="97" spans="1:14" ht="30" customHeight="1" x14ac:dyDescent="0.25">
      <c r="A97" s="164">
        <v>78</v>
      </c>
      <c r="B97" s="154" t="s">
        <v>95</v>
      </c>
      <c r="C97" s="113" t="s">
        <v>21</v>
      </c>
      <c r="D97" s="42" t="s">
        <v>20</v>
      </c>
      <c r="E97" s="112" t="s">
        <v>8</v>
      </c>
      <c r="F97" s="20">
        <v>41.4</v>
      </c>
      <c r="G97" s="13">
        <v>24</v>
      </c>
      <c r="H97" s="13">
        <f t="shared" si="32"/>
        <v>29.392800000000001</v>
      </c>
      <c r="I97" s="13">
        <f t="shared" si="33"/>
        <v>1216.8619200000001</v>
      </c>
      <c r="J97" s="33"/>
      <c r="K97" s="34"/>
      <c r="L97" s="34"/>
      <c r="M97" s="32"/>
      <c r="N97" s="32"/>
    </row>
    <row r="98" spans="1:14" ht="30" customHeight="1" x14ac:dyDescent="0.25">
      <c r="A98" s="164">
        <v>79</v>
      </c>
      <c r="B98" s="154" t="s">
        <v>94</v>
      </c>
      <c r="C98" s="113" t="s">
        <v>21</v>
      </c>
      <c r="D98" s="42" t="s">
        <v>20</v>
      </c>
      <c r="E98" s="112" t="s">
        <v>8</v>
      </c>
      <c r="F98" s="20">
        <v>38.590000000000003</v>
      </c>
      <c r="G98" s="13">
        <v>24</v>
      </c>
      <c r="H98" s="13">
        <f t="shared" si="32"/>
        <v>29.392800000000001</v>
      </c>
      <c r="I98" s="13">
        <f t="shared" si="33"/>
        <v>1134.2681520000001</v>
      </c>
      <c r="J98" s="33"/>
      <c r="K98" s="34"/>
      <c r="L98" s="34"/>
      <c r="M98" s="32"/>
      <c r="N98" s="32"/>
    </row>
    <row r="99" spans="1:14" ht="30" x14ac:dyDescent="0.25">
      <c r="A99" s="164">
        <v>80</v>
      </c>
      <c r="B99" s="154" t="s">
        <v>93</v>
      </c>
      <c r="C99" s="113" t="s">
        <v>21</v>
      </c>
      <c r="D99" s="42" t="s">
        <v>20</v>
      </c>
      <c r="E99" s="112" t="s">
        <v>8</v>
      </c>
      <c r="F99" s="20">
        <v>41.49</v>
      </c>
      <c r="G99" s="13">
        <v>24</v>
      </c>
      <c r="H99" s="13">
        <f t="shared" si="30"/>
        <v>29.392800000000001</v>
      </c>
      <c r="I99" s="13">
        <f t="shared" si="31"/>
        <v>1219.5072720000001</v>
      </c>
      <c r="J99" s="33"/>
      <c r="K99" s="34"/>
      <c r="L99" s="148"/>
      <c r="M99" s="32"/>
      <c r="N99" s="32"/>
    </row>
    <row r="100" spans="1:14" ht="45" x14ac:dyDescent="0.25">
      <c r="A100" s="164">
        <v>81</v>
      </c>
      <c r="B100" s="154" t="s">
        <v>100</v>
      </c>
      <c r="C100" s="113" t="s">
        <v>23</v>
      </c>
      <c r="D100" s="42" t="s">
        <v>22</v>
      </c>
      <c r="E100" s="112" t="s">
        <v>19</v>
      </c>
      <c r="F100" s="20">
        <f>(15.33+7.38+7.38)</f>
        <v>30.09</v>
      </c>
      <c r="G100" s="13">
        <v>22.78</v>
      </c>
      <c r="H100" s="13">
        <f t="shared" ref="H100:H106" si="34">G100+G100*B$18</f>
        <v>27.898666000000002</v>
      </c>
      <c r="I100" s="13">
        <f t="shared" ref="I100:I106" si="35">H100*F100</f>
        <v>839.47085994000008</v>
      </c>
      <c r="J100" s="33"/>
      <c r="K100" s="34"/>
      <c r="L100" s="148"/>
      <c r="M100" s="32"/>
      <c r="N100" s="32"/>
    </row>
    <row r="101" spans="1:14" ht="45" x14ac:dyDescent="0.25">
      <c r="A101" s="164">
        <v>82</v>
      </c>
      <c r="B101" s="154" t="s">
        <v>99</v>
      </c>
      <c r="C101" s="113" t="s">
        <v>23</v>
      </c>
      <c r="D101" s="42" t="s">
        <v>22</v>
      </c>
      <c r="E101" s="112" t="s">
        <v>19</v>
      </c>
      <c r="F101" s="20">
        <f>(16.24+6.77+6.77)</f>
        <v>29.779999999999998</v>
      </c>
      <c r="G101" s="13">
        <v>22.78</v>
      </c>
      <c r="H101" s="13">
        <f t="shared" si="34"/>
        <v>27.898666000000002</v>
      </c>
      <c r="I101" s="13">
        <f t="shared" si="35"/>
        <v>830.82227348000004</v>
      </c>
      <c r="J101" s="33"/>
      <c r="K101" s="34"/>
      <c r="L101" s="148"/>
      <c r="M101" s="32"/>
      <c r="N101" s="32"/>
    </row>
    <row r="102" spans="1:14" ht="45" x14ac:dyDescent="0.25">
      <c r="A102" s="164">
        <v>83</v>
      </c>
      <c r="B102" s="154" t="s">
        <v>98</v>
      </c>
      <c r="C102" s="113" t="s">
        <v>23</v>
      </c>
      <c r="D102" s="42" t="s">
        <v>22</v>
      </c>
      <c r="E102" s="112" t="s">
        <v>19</v>
      </c>
      <c r="F102" s="20">
        <f>(11.16+3.36+3.36)</f>
        <v>17.88</v>
      </c>
      <c r="G102" s="13">
        <v>22.78</v>
      </c>
      <c r="H102" s="13">
        <f t="shared" si="34"/>
        <v>27.898666000000002</v>
      </c>
      <c r="I102" s="13">
        <f t="shared" si="35"/>
        <v>498.82814808000001</v>
      </c>
      <c r="J102" s="33"/>
      <c r="K102" s="34"/>
      <c r="L102" s="148"/>
      <c r="M102" s="32"/>
      <c r="N102" s="32"/>
    </row>
    <row r="103" spans="1:14" ht="45" x14ac:dyDescent="0.25">
      <c r="A103" s="164">
        <v>84</v>
      </c>
      <c r="B103" s="154" t="s">
        <v>97</v>
      </c>
      <c r="C103" s="113" t="s">
        <v>23</v>
      </c>
      <c r="D103" s="42" t="s">
        <v>22</v>
      </c>
      <c r="E103" s="112" t="s">
        <v>19</v>
      </c>
      <c r="F103" s="20">
        <f>(15.45+5.94+5.94)</f>
        <v>27.330000000000002</v>
      </c>
      <c r="G103" s="13">
        <v>22.78</v>
      </c>
      <c r="H103" s="13">
        <f t="shared" si="34"/>
        <v>27.898666000000002</v>
      </c>
      <c r="I103" s="13">
        <f t="shared" si="35"/>
        <v>762.47054178000008</v>
      </c>
      <c r="J103" s="33"/>
      <c r="K103" s="34"/>
      <c r="L103" s="148"/>
      <c r="M103" s="32"/>
      <c r="N103" s="32"/>
    </row>
    <row r="104" spans="1:14" ht="45" x14ac:dyDescent="0.25">
      <c r="A104" s="164">
        <v>85</v>
      </c>
      <c r="B104" s="154" t="s">
        <v>96</v>
      </c>
      <c r="C104" s="113" t="s">
        <v>23</v>
      </c>
      <c r="D104" s="42" t="s">
        <v>22</v>
      </c>
      <c r="E104" s="112" t="s">
        <v>19</v>
      </c>
      <c r="F104" s="20">
        <f>(18.35+6.79+6.79)</f>
        <v>31.93</v>
      </c>
      <c r="G104" s="13">
        <v>22.78</v>
      </c>
      <c r="H104" s="13">
        <f t="shared" si="34"/>
        <v>27.898666000000002</v>
      </c>
      <c r="I104" s="13">
        <f t="shared" si="35"/>
        <v>890.80440538000005</v>
      </c>
      <c r="J104" s="33"/>
      <c r="K104" s="34"/>
      <c r="L104" s="148"/>
      <c r="M104" s="32"/>
      <c r="N104" s="32"/>
    </row>
    <row r="105" spans="1:14" ht="45" x14ac:dyDescent="0.25">
      <c r="A105" s="164">
        <v>86</v>
      </c>
      <c r="B105" s="154" t="s">
        <v>95</v>
      </c>
      <c r="C105" s="113" t="s">
        <v>23</v>
      </c>
      <c r="D105" s="42" t="s">
        <v>22</v>
      </c>
      <c r="E105" s="112" t="s">
        <v>19</v>
      </c>
      <c r="F105" s="20">
        <f>(8.28+4.63+4.63)</f>
        <v>17.54</v>
      </c>
      <c r="G105" s="13">
        <v>22.78</v>
      </c>
      <c r="H105" s="13">
        <f t="shared" si="34"/>
        <v>27.898666000000002</v>
      </c>
      <c r="I105" s="13">
        <f t="shared" si="35"/>
        <v>489.34260164</v>
      </c>
      <c r="J105" s="33"/>
      <c r="K105" s="34"/>
      <c r="L105" s="148"/>
      <c r="M105" s="32"/>
      <c r="N105" s="32"/>
    </row>
    <row r="106" spans="1:14" ht="45" x14ac:dyDescent="0.25">
      <c r="A106" s="164">
        <v>87</v>
      </c>
      <c r="B106" s="154" t="s">
        <v>94</v>
      </c>
      <c r="C106" s="113" t="s">
        <v>23</v>
      </c>
      <c r="D106" s="42" t="s">
        <v>22</v>
      </c>
      <c r="E106" s="112" t="s">
        <v>19</v>
      </c>
      <c r="F106" s="20">
        <f>(7.99+4.59+4.59)</f>
        <v>17.170000000000002</v>
      </c>
      <c r="G106" s="13">
        <v>22.78</v>
      </c>
      <c r="H106" s="13">
        <f t="shared" si="34"/>
        <v>27.898666000000002</v>
      </c>
      <c r="I106" s="13">
        <f t="shared" si="35"/>
        <v>479.02009522000009</v>
      </c>
      <c r="J106" s="33"/>
      <c r="K106" s="34"/>
      <c r="L106" s="148"/>
      <c r="M106" s="32"/>
      <c r="N106" s="32"/>
    </row>
    <row r="107" spans="1:14" ht="45" x14ac:dyDescent="0.25">
      <c r="A107" s="164">
        <v>88</v>
      </c>
      <c r="B107" s="154" t="s">
        <v>93</v>
      </c>
      <c r="C107" s="113" t="s">
        <v>23</v>
      </c>
      <c r="D107" s="42" t="s">
        <v>22</v>
      </c>
      <c r="E107" s="112" t="s">
        <v>19</v>
      </c>
      <c r="F107" s="20">
        <f>(8.28+4.63+4.63)</f>
        <v>17.54</v>
      </c>
      <c r="G107" s="13">
        <v>22.78</v>
      </c>
      <c r="H107" s="13">
        <f t="shared" si="30"/>
        <v>27.898666000000002</v>
      </c>
      <c r="I107" s="13">
        <f t="shared" si="31"/>
        <v>489.34260164</v>
      </c>
      <c r="J107" s="33"/>
      <c r="K107" s="34"/>
      <c r="L107" s="34"/>
      <c r="M107" s="32"/>
      <c r="N107" s="32"/>
    </row>
    <row r="108" spans="1:14" ht="30" x14ac:dyDescent="0.25">
      <c r="A108" s="164">
        <v>89</v>
      </c>
      <c r="B108" s="154" t="s">
        <v>100</v>
      </c>
      <c r="C108" s="113" t="s">
        <v>25</v>
      </c>
      <c r="D108" s="42" t="s">
        <v>24</v>
      </c>
      <c r="E108" s="112" t="s">
        <v>19</v>
      </c>
      <c r="F108" s="20">
        <f>15.33</f>
        <v>15.33</v>
      </c>
      <c r="G108" s="13">
        <v>94.85</v>
      </c>
      <c r="H108" s="13">
        <f t="shared" ref="H108:H114" si="36">G108+G108*B$18</f>
        <v>116.16279499999999</v>
      </c>
      <c r="I108" s="13">
        <f t="shared" ref="I108:I114" si="37">H108*F108</f>
        <v>1780.7756473499999</v>
      </c>
      <c r="J108" s="33"/>
      <c r="K108" s="34"/>
      <c r="L108" s="34"/>
      <c r="M108" s="32"/>
      <c r="N108" s="32"/>
    </row>
    <row r="109" spans="1:14" ht="30" x14ac:dyDescent="0.25">
      <c r="A109" s="164">
        <v>90</v>
      </c>
      <c r="B109" s="154" t="s">
        <v>99</v>
      </c>
      <c r="C109" s="113" t="s">
        <v>25</v>
      </c>
      <c r="D109" s="42" t="s">
        <v>24</v>
      </c>
      <c r="E109" s="112" t="s">
        <v>19</v>
      </c>
      <c r="F109" s="20">
        <v>13.53</v>
      </c>
      <c r="G109" s="13">
        <v>94.85</v>
      </c>
      <c r="H109" s="13">
        <f t="shared" si="36"/>
        <v>116.16279499999999</v>
      </c>
      <c r="I109" s="13">
        <f t="shared" si="37"/>
        <v>1571.6826163499998</v>
      </c>
      <c r="J109" s="33"/>
      <c r="K109" s="34"/>
      <c r="L109" s="34"/>
      <c r="M109" s="32"/>
      <c r="N109" s="32"/>
    </row>
    <row r="110" spans="1:14" ht="30" x14ac:dyDescent="0.25">
      <c r="A110" s="164">
        <v>91</v>
      </c>
      <c r="B110" s="154" t="s">
        <v>98</v>
      </c>
      <c r="C110" s="113" t="s">
        <v>25</v>
      </c>
      <c r="D110" s="42" t="s">
        <v>24</v>
      </c>
      <c r="E110" s="112" t="s">
        <v>19</v>
      </c>
      <c r="F110" s="20">
        <v>11.16</v>
      </c>
      <c r="G110" s="13">
        <v>94.85</v>
      </c>
      <c r="H110" s="13">
        <f t="shared" si="36"/>
        <v>116.16279499999999</v>
      </c>
      <c r="I110" s="13">
        <f t="shared" si="37"/>
        <v>1296.3767922</v>
      </c>
      <c r="J110" s="33"/>
      <c r="K110" s="34"/>
      <c r="L110" s="34"/>
      <c r="M110" s="32"/>
      <c r="N110" s="32"/>
    </row>
    <row r="111" spans="1:14" ht="30" x14ac:dyDescent="0.25">
      <c r="A111" s="164">
        <v>92</v>
      </c>
      <c r="B111" s="154" t="s">
        <v>97</v>
      </c>
      <c r="C111" s="113" t="s">
        <v>25</v>
      </c>
      <c r="D111" s="42" t="s">
        <v>24</v>
      </c>
      <c r="E111" s="112" t="s">
        <v>19</v>
      </c>
      <c r="F111" s="20">
        <v>16.239999999999998</v>
      </c>
      <c r="G111" s="13">
        <v>94.85</v>
      </c>
      <c r="H111" s="13">
        <f t="shared" si="36"/>
        <v>116.16279499999999</v>
      </c>
      <c r="I111" s="13">
        <f t="shared" si="37"/>
        <v>1886.4837907999997</v>
      </c>
      <c r="J111" s="33"/>
      <c r="K111" s="34"/>
      <c r="L111" s="34"/>
      <c r="M111" s="32"/>
      <c r="N111" s="32"/>
    </row>
    <row r="112" spans="1:14" ht="30" x14ac:dyDescent="0.25">
      <c r="A112" s="164">
        <v>93</v>
      </c>
      <c r="B112" s="154" t="s">
        <v>96</v>
      </c>
      <c r="C112" s="113" t="s">
        <v>25</v>
      </c>
      <c r="D112" s="42" t="s">
        <v>24</v>
      </c>
      <c r="E112" s="112" t="s">
        <v>19</v>
      </c>
      <c r="F112" s="20">
        <v>18.350000000000001</v>
      </c>
      <c r="G112" s="13">
        <v>94.85</v>
      </c>
      <c r="H112" s="13">
        <f t="shared" si="36"/>
        <v>116.16279499999999</v>
      </c>
      <c r="I112" s="13">
        <f t="shared" si="37"/>
        <v>2131.5872882499998</v>
      </c>
      <c r="J112" s="33"/>
      <c r="K112" s="34"/>
      <c r="L112" s="34"/>
      <c r="M112" s="32"/>
      <c r="N112" s="32"/>
    </row>
    <row r="113" spans="1:14" ht="30" x14ac:dyDescent="0.25">
      <c r="A113" s="164">
        <v>94</v>
      </c>
      <c r="B113" s="154" t="s">
        <v>95</v>
      </c>
      <c r="C113" s="113" t="s">
        <v>25</v>
      </c>
      <c r="D113" s="42" t="s">
        <v>24</v>
      </c>
      <c r="E113" s="112" t="s">
        <v>19</v>
      </c>
      <c r="F113" s="20">
        <v>8.2799999999999994</v>
      </c>
      <c r="G113" s="13">
        <v>94.85</v>
      </c>
      <c r="H113" s="13">
        <f t="shared" si="36"/>
        <v>116.16279499999999</v>
      </c>
      <c r="I113" s="13">
        <f t="shared" si="37"/>
        <v>961.8279425999998</v>
      </c>
      <c r="J113" s="33"/>
      <c r="K113" s="34"/>
      <c r="L113" s="34"/>
      <c r="M113" s="32"/>
      <c r="N113" s="32"/>
    </row>
    <row r="114" spans="1:14" ht="30" x14ac:dyDescent="0.25">
      <c r="A114" s="164">
        <v>95</v>
      </c>
      <c r="B114" s="154" t="s">
        <v>94</v>
      </c>
      <c r="C114" s="113" t="s">
        <v>25</v>
      </c>
      <c r="D114" s="42" t="s">
        <v>24</v>
      </c>
      <c r="E114" s="112" t="s">
        <v>19</v>
      </c>
      <c r="F114" s="20">
        <v>7.99</v>
      </c>
      <c r="G114" s="13">
        <v>94.85</v>
      </c>
      <c r="H114" s="13">
        <f t="shared" si="36"/>
        <v>116.16279499999999</v>
      </c>
      <c r="I114" s="13">
        <f t="shared" si="37"/>
        <v>928.14073204999988</v>
      </c>
      <c r="J114" s="33"/>
      <c r="K114" s="34"/>
      <c r="L114" s="34"/>
      <c r="M114" s="32"/>
      <c r="N114" s="32"/>
    </row>
    <row r="115" spans="1:14" ht="30" x14ac:dyDescent="0.25">
      <c r="A115" s="164">
        <v>96</v>
      </c>
      <c r="B115" s="154" t="s">
        <v>93</v>
      </c>
      <c r="C115" s="113" t="s">
        <v>25</v>
      </c>
      <c r="D115" s="42" t="s">
        <v>24</v>
      </c>
      <c r="E115" s="112" t="s">
        <v>19</v>
      </c>
      <c r="F115" s="20">
        <v>8.2799999999999994</v>
      </c>
      <c r="G115" s="13">
        <v>94.85</v>
      </c>
      <c r="H115" s="13">
        <f t="shared" si="30"/>
        <v>116.16279499999999</v>
      </c>
      <c r="I115" s="13">
        <f t="shared" si="31"/>
        <v>961.8279425999998</v>
      </c>
      <c r="J115" s="33"/>
      <c r="K115" s="34"/>
      <c r="L115" s="34"/>
      <c r="M115" s="32"/>
      <c r="N115" s="32"/>
    </row>
    <row r="116" spans="1:14" ht="45" x14ac:dyDescent="0.25">
      <c r="A116" s="164">
        <v>97</v>
      </c>
      <c r="B116" s="154" t="s">
        <v>100</v>
      </c>
      <c r="C116" s="113" t="s">
        <v>26</v>
      </c>
      <c r="D116" s="42" t="s">
        <v>27</v>
      </c>
      <c r="E116" s="112" t="s">
        <v>19</v>
      </c>
      <c r="F116" s="20">
        <f>46.38</f>
        <v>46.38</v>
      </c>
      <c r="G116" s="13">
        <v>49.33</v>
      </c>
      <c r="H116" s="13">
        <f t="shared" ref="H116:H122" si="38">G116+G116*B$18</f>
        <v>60.414451</v>
      </c>
      <c r="I116" s="13">
        <f t="shared" ref="I116:I122" si="39">H116*F116</f>
        <v>2802.0222373800002</v>
      </c>
      <c r="J116" s="33"/>
      <c r="K116" s="34"/>
      <c r="L116" s="34"/>
      <c r="M116" s="32"/>
      <c r="N116" s="32"/>
    </row>
    <row r="117" spans="1:14" ht="45" x14ac:dyDescent="0.25">
      <c r="A117" s="164">
        <v>98</v>
      </c>
      <c r="B117" s="154" t="s">
        <v>99</v>
      </c>
      <c r="C117" s="113" t="s">
        <v>26</v>
      </c>
      <c r="D117" s="42" t="s">
        <v>27</v>
      </c>
      <c r="E117" s="112" t="s">
        <v>19</v>
      </c>
      <c r="F117" s="20">
        <f>46.98-13.53</f>
        <v>33.449999999999996</v>
      </c>
      <c r="G117" s="13">
        <v>49.33</v>
      </c>
      <c r="H117" s="13">
        <f t="shared" si="38"/>
        <v>60.414451</v>
      </c>
      <c r="I117" s="13">
        <f t="shared" si="39"/>
        <v>2020.8633859499998</v>
      </c>
      <c r="J117" s="33"/>
      <c r="K117" s="34"/>
      <c r="L117" s="34"/>
      <c r="M117" s="32"/>
      <c r="N117" s="32"/>
    </row>
    <row r="118" spans="1:14" ht="45" x14ac:dyDescent="0.25">
      <c r="A118" s="164">
        <v>99</v>
      </c>
      <c r="B118" s="154" t="s">
        <v>98</v>
      </c>
      <c r="C118" s="113" t="s">
        <v>26</v>
      </c>
      <c r="D118" s="42" t="s">
        <v>27</v>
      </c>
      <c r="E118" s="112" t="s">
        <v>19</v>
      </c>
      <c r="F118" s="20">
        <f>29.76-3.36</f>
        <v>26.400000000000002</v>
      </c>
      <c r="G118" s="13">
        <v>49.33</v>
      </c>
      <c r="H118" s="13">
        <f t="shared" si="38"/>
        <v>60.414451</v>
      </c>
      <c r="I118" s="13">
        <f t="shared" si="39"/>
        <v>1594.9415064000002</v>
      </c>
      <c r="J118" s="33"/>
      <c r="K118" s="34"/>
      <c r="L118" s="34"/>
      <c r="M118" s="32"/>
      <c r="N118" s="32"/>
    </row>
    <row r="119" spans="1:14" ht="45" x14ac:dyDescent="0.25">
      <c r="A119" s="164">
        <v>100</v>
      </c>
      <c r="B119" s="154" t="s">
        <v>97</v>
      </c>
      <c r="C119" s="113" t="s">
        <v>26</v>
      </c>
      <c r="D119" s="42" t="s">
        <v>27</v>
      </c>
      <c r="E119" s="112" t="s">
        <v>19</v>
      </c>
      <c r="F119" s="20">
        <f>43.24-4.08-6.18</f>
        <v>32.980000000000004</v>
      </c>
      <c r="G119" s="13">
        <v>49.33</v>
      </c>
      <c r="H119" s="13">
        <f t="shared" si="38"/>
        <v>60.414451</v>
      </c>
      <c r="I119" s="13">
        <f t="shared" si="39"/>
        <v>1992.4685939800002</v>
      </c>
      <c r="J119" s="33"/>
      <c r="K119" s="34"/>
      <c r="L119" s="34"/>
      <c r="M119" s="32"/>
      <c r="N119" s="32"/>
    </row>
    <row r="120" spans="1:14" ht="45" x14ac:dyDescent="0.25">
      <c r="A120" s="164">
        <v>101</v>
      </c>
      <c r="B120" s="154" t="s">
        <v>96</v>
      </c>
      <c r="C120" s="113" t="s">
        <v>26</v>
      </c>
      <c r="D120" s="42" t="s">
        <v>27</v>
      </c>
      <c r="E120" s="112" t="s">
        <v>19</v>
      </c>
      <c r="F120" s="20">
        <f>51.24-6.18</f>
        <v>45.06</v>
      </c>
      <c r="G120" s="13">
        <v>49.33</v>
      </c>
      <c r="H120" s="13">
        <f t="shared" si="38"/>
        <v>60.414451</v>
      </c>
      <c r="I120" s="13">
        <f t="shared" si="39"/>
        <v>2722.2751620600002</v>
      </c>
      <c r="J120" s="33"/>
      <c r="K120" s="34"/>
      <c r="L120" s="34"/>
      <c r="M120" s="32"/>
      <c r="N120" s="32"/>
    </row>
    <row r="121" spans="1:14" ht="45" x14ac:dyDescent="0.25">
      <c r="A121" s="164">
        <v>102</v>
      </c>
      <c r="B121" s="154" t="s">
        <v>95</v>
      </c>
      <c r="C121" s="113" t="s">
        <v>26</v>
      </c>
      <c r="D121" s="42" t="s">
        <v>27</v>
      </c>
      <c r="E121" s="112" t="s">
        <v>19</v>
      </c>
      <c r="F121" s="20">
        <f>26.76</f>
        <v>26.76</v>
      </c>
      <c r="G121" s="13">
        <v>49.33</v>
      </c>
      <c r="H121" s="13">
        <f t="shared" si="38"/>
        <v>60.414451</v>
      </c>
      <c r="I121" s="13">
        <f t="shared" si="39"/>
        <v>1616.69070876</v>
      </c>
      <c r="J121" s="33"/>
      <c r="K121" s="34"/>
      <c r="L121" s="34"/>
      <c r="M121" s="32"/>
      <c r="N121" s="32"/>
    </row>
    <row r="122" spans="1:14" ht="45" x14ac:dyDescent="0.25">
      <c r="A122" s="164">
        <v>103</v>
      </c>
      <c r="B122" s="154" t="s">
        <v>94</v>
      </c>
      <c r="C122" s="113" t="s">
        <v>26</v>
      </c>
      <c r="D122" s="42" t="s">
        <v>27</v>
      </c>
      <c r="E122" s="112" t="s">
        <v>19</v>
      </c>
      <c r="F122" s="20">
        <f>25.64-4.83</f>
        <v>20.810000000000002</v>
      </c>
      <c r="G122" s="13">
        <v>49.33</v>
      </c>
      <c r="H122" s="13">
        <f t="shared" si="38"/>
        <v>60.414451</v>
      </c>
      <c r="I122" s="13">
        <f t="shared" si="39"/>
        <v>1257.2247253100002</v>
      </c>
      <c r="J122" s="33"/>
      <c r="K122" s="34"/>
      <c r="L122" s="34"/>
      <c r="M122" s="32"/>
      <c r="N122" s="32"/>
    </row>
    <row r="123" spans="1:14" ht="45" x14ac:dyDescent="0.25">
      <c r="A123" s="164">
        <v>104</v>
      </c>
      <c r="B123" s="154" t="s">
        <v>93</v>
      </c>
      <c r="C123" s="113" t="s">
        <v>26</v>
      </c>
      <c r="D123" s="42" t="s">
        <v>27</v>
      </c>
      <c r="E123" s="112" t="s">
        <v>19</v>
      </c>
      <c r="F123" s="20">
        <f>26.76-4.83</f>
        <v>21.93</v>
      </c>
      <c r="G123" s="13">
        <v>49.33</v>
      </c>
      <c r="H123" s="13">
        <f t="shared" si="30"/>
        <v>60.414451</v>
      </c>
      <c r="I123" s="13">
        <f t="shared" si="31"/>
        <v>1324.8889104299999</v>
      </c>
      <c r="J123" s="33"/>
      <c r="K123" s="34"/>
      <c r="L123" s="34"/>
      <c r="M123" s="32"/>
      <c r="N123" s="32"/>
    </row>
    <row r="124" spans="1:14" ht="60" x14ac:dyDescent="0.25">
      <c r="A124" s="164">
        <v>105</v>
      </c>
      <c r="B124" s="154" t="s">
        <v>100</v>
      </c>
      <c r="C124" s="12" t="s">
        <v>64</v>
      </c>
      <c r="D124" s="25" t="s">
        <v>63</v>
      </c>
      <c r="E124" s="112" t="s">
        <v>19</v>
      </c>
      <c r="F124" s="20">
        <f>8*2*3.5</f>
        <v>56</v>
      </c>
      <c r="G124" s="13">
        <v>24.55</v>
      </c>
      <c r="H124" s="13">
        <f t="shared" ref="H124:H130" si="40">G124+G124*B$18</f>
        <v>30.066385</v>
      </c>
      <c r="I124" s="13">
        <f t="shared" ref="I124:I130" si="41">H124*F124</f>
        <v>1683.71756</v>
      </c>
      <c r="J124" s="33"/>
      <c r="K124" s="34"/>
      <c r="L124" s="34"/>
      <c r="M124" s="32"/>
      <c r="N124" s="32"/>
    </row>
    <row r="125" spans="1:14" ht="60" x14ac:dyDescent="0.25">
      <c r="A125" s="164">
        <v>106</v>
      </c>
      <c r="B125" s="154" t="s">
        <v>99</v>
      </c>
      <c r="C125" s="12" t="s">
        <v>64</v>
      </c>
      <c r="D125" s="25" t="s">
        <v>63</v>
      </c>
      <c r="E125" s="112" t="s">
        <v>19</v>
      </c>
      <c r="F125" s="20">
        <f t="shared" ref="F125:F131" si="42">2*3.5</f>
        <v>7</v>
      </c>
      <c r="G125" s="13">
        <v>24.55</v>
      </c>
      <c r="H125" s="13">
        <f t="shared" si="40"/>
        <v>30.066385</v>
      </c>
      <c r="I125" s="13">
        <f t="shared" si="41"/>
        <v>210.46469500000001</v>
      </c>
      <c r="J125" s="33"/>
      <c r="K125" s="34"/>
      <c r="L125" s="34"/>
      <c r="M125" s="32"/>
      <c r="N125" s="32"/>
    </row>
    <row r="126" spans="1:14" ht="60" x14ac:dyDescent="0.25">
      <c r="A126" s="164">
        <v>107</v>
      </c>
      <c r="B126" s="154" t="s">
        <v>98</v>
      </c>
      <c r="C126" s="12" t="s">
        <v>64</v>
      </c>
      <c r="D126" s="25" t="s">
        <v>63</v>
      </c>
      <c r="E126" s="112" t="s">
        <v>19</v>
      </c>
      <c r="F126" s="20">
        <f t="shared" si="42"/>
        <v>7</v>
      </c>
      <c r="G126" s="13">
        <v>24.55</v>
      </c>
      <c r="H126" s="13">
        <f t="shared" si="40"/>
        <v>30.066385</v>
      </c>
      <c r="I126" s="13">
        <f t="shared" si="41"/>
        <v>210.46469500000001</v>
      </c>
      <c r="J126" s="33"/>
      <c r="K126" s="34"/>
      <c r="L126" s="34"/>
      <c r="M126" s="32"/>
      <c r="N126" s="32"/>
    </row>
    <row r="127" spans="1:14" ht="60" x14ac:dyDescent="0.25">
      <c r="A127" s="164">
        <v>108</v>
      </c>
      <c r="B127" s="154" t="s">
        <v>97</v>
      </c>
      <c r="C127" s="12" t="s">
        <v>64</v>
      </c>
      <c r="D127" s="25" t="s">
        <v>63</v>
      </c>
      <c r="E127" s="112" t="s">
        <v>19</v>
      </c>
      <c r="F127" s="20">
        <f t="shared" si="42"/>
        <v>7</v>
      </c>
      <c r="G127" s="13">
        <v>24.55</v>
      </c>
      <c r="H127" s="13">
        <f t="shared" si="40"/>
        <v>30.066385</v>
      </c>
      <c r="I127" s="13">
        <f t="shared" si="41"/>
        <v>210.46469500000001</v>
      </c>
      <c r="J127" s="33"/>
      <c r="K127" s="34"/>
      <c r="L127" s="34"/>
      <c r="M127" s="32"/>
      <c r="N127" s="32"/>
    </row>
    <row r="128" spans="1:14" ht="60" x14ac:dyDescent="0.25">
      <c r="A128" s="164">
        <v>109</v>
      </c>
      <c r="B128" s="154" t="s">
        <v>96</v>
      </c>
      <c r="C128" s="12" t="s">
        <v>64</v>
      </c>
      <c r="D128" s="25" t="s">
        <v>63</v>
      </c>
      <c r="E128" s="112" t="s">
        <v>19</v>
      </c>
      <c r="F128" s="20">
        <f t="shared" si="42"/>
        <v>7</v>
      </c>
      <c r="G128" s="13">
        <v>24.55</v>
      </c>
      <c r="H128" s="13">
        <f t="shared" si="40"/>
        <v>30.066385</v>
      </c>
      <c r="I128" s="13">
        <f t="shared" si="41"/>
        <v>210.46469500000001</v>
      </c>
      <c r="J128" s="33"/>
      <c r="K128" s="34"/>
      <c r="L128" s="34"/>
      <c r="M128" s="32"/>
      <c r="N128" s="32"/>
    </row>
    <row r="129" spans="1:14" ht="60" x14ac:dyDescent="0.25">
      <c r="A129" s="164">
        <v>110</v>
      </c>
      <c r="B129" s="154" t="s">
        <v>95</v>
      </c>
      <c r="C129" s="12" t="s">
        <v>64</v>
      </c>
      <c r="D129" s="25" t="s">
        <v>63</v>
      </c>
      <c r="E129" s="112" t="s">
        <v>19</v>
      </c>
      <c r="F129" s="20">
        <f t="shared" si="42"/>
        <v>7</v>
      </c>
      <c r="G129" s="13">
        <v>24.55</v>
      </c>
      <c r="H129" s="13">
        <f t="shared" si="40"/>
        <v>30.066385</v>
      </c>
      <c r="I129" s="13">
        <f t="shared" si="41"/>
        <v>210.46469500000001</v>
      </c>
      <c r="J129" s="33"/>
      <c r="K129" s="34"/>
      <c r="L129" s="34"/>
      <c r="M129" s="32"/>
      <c r="N129" s="32"/>
    </row>
    <row r="130" spans="1:14" ht="60" x14ac:dyDescent="0.25">
      <c r="A130" s="164">
        <v>111</v>
      </c>
      <c r="B130" s="154" t="s">
        <v>94</v>
      </c>
      <c r="C130" s="12" t="s">
        <v>64</v>
      </c>
      <c r="D130" s="25" t="s">
        <v>63</v>
      </c>
      <c r="E130" s="112" t="s">
        <v>19</v>
      </c>
      <c r="F130" s="20">
        <f t="shared" si="42"/>
        <v>7</v>
      </c>
      <c r="G130" s="13">
        <v>24.55</v>
      </c>
      <c r="H130" s="13">
        <f t="shared" si="40"/>
        <v>30.066385</v>
      </c>
      <c r="I130" s="13">
        <f t="shared" si="41"/>
        <v>210.46469500000001</v>
      </c>
      <c r="J130" s="33"/>
      <c r="K130" s="34"/>
      <c r="L130" s="34"/>
      <c r="M130" s="32"/>
      <c r="N130" s="32"/>
    </row>
    <row r="131" spans="1:14" ht="60" x14ac:dyDescent="0.25">
      <c r="A131" s="164">
        <v>112</v>
      </c>
      <c r="B131" s="154" t="s">
        <v>93</v>
      </c>
      <c r="C131" s="12" t="s">
        <v>64</v>
      </c>
      <c r="D131" s="25" t="s">
        <v>63</v>
      </c>
      <c r="E131" s="112" t="s">
        <v>19</v>
      </c>
      <c r="F131" s="20">
        <f t="shared" si="42"/>
        <v>7</v>
      </c>
      <c r="G131" s="13">
        <v>24.55</v>
      </c>
      <c r="H131" s="13">
        <f t="shared" si="30"/>
        <v>30.066385</v>
      </c>
      <c r="I131" s="13">
        <f t="shared" si="31"/>
        <v>210.46469500000001</v>
      </c>
      <c r="J131" s="33"/>
      <c r="K131" s="34"/>
      <c r="L131" s="34"/>
      <c r="M131" s="32"/>
      <c r="N131" s="32"/>
    </row>
    <row r="132" spans="1:14" x14ac:dyDescent="0.25">
      <c r="A132" s="164">
        <v>113</v>
      </c>
      <c r="B132" s="211" t="s">
        <v>112</v>
      </c>
      <c r="C132" s="211"/>
      <c r="D132" s="211"/>
      <c r="E132" s="211"/>
      <c r="F132" s="211"/>
      <c r="G132" s="211"/>
      <c r="H132" s="211"/>
      <c r="I132" s="30">
        <f>SUM(I133:I156)</f>
        <v>58543.568012187992</v>
      </c>
      <c r="J132" s="33"/>
      <c r="K132" s="34"/>
      <c r="L132" s="34"/>
      <c r="M132" s="32"/>
      <c r="N132" s="32"/>
    </row>
    <row r="133" spans="1:14" ht="60" x14ac:dyDescent="0.25">
      <c r="A133" s="164">
        <v>114</v>
      </c>
      <c r="B133" s="163" t="s">
        <v>157</v>
      </c>
      <c r="C133" s="12" t="s">
        <v>158</v>
      </c>
      <c r="D133" s="25" t="s">
        <v>160</v>
      </c>
      <c r="E133" s="112" t="s">
        <v>19</v>
      </c>
      <c r="F133" s="20">
        <f>10.64+2.54</f>
        <v>13.18</v>
      </c>
      <c r="G133" s="13">
        <v>299.14</v>
      </c>
      <c r="H133" s="13">
        <f t="shared" ref="H133:H134" si="43">G133+G133*B$18</f>
        <v>366.35675800000001</v>
      </c>
      <c r="I133" s="13">
        <f t="shared" ref="I133:I134" si="44">H133*F133</f>
        <v>4828.5820704400003</v>
      </c>
      <c r="J133" s="33"/>
      <c r="K133" s="34"/>
      <c r="L133" s="34"/>
      <c r="M133" s="32"/>
      <c r="N133" s="32"/>
    </row>
    <row r="134" spans="1:14" ht="105" x14ac:dyDescent="0.25">
      <c r="A134" s="164">
        <v>115</v>
      </c>
      <c r="B134" s="154" t="s">
        <v>114</v>
      </c>
      <c r="C134" s="12" t="s">
        <v>159</v>
      </c>
      <c r="D134" s="25" t="s">
        <v>161</v>
      </c>
      <c r="E134" s="112" t="s">
        <v>8</v>
      </c>
      <c r="F134" s="20">
        <v>48.06</v>
      </c>
      <c r="G134" s="13">
        <v>68.150000000000006</v>
      </c>
      <c r="H134" s="13">
        <f t="shared" si="43"/>
        <v>83.463305000000005</v>
      </c>
      <c r="I134" s="13">
        <f t="shared" si="44"/>
        <v>4011.2464383000006</v>
      </c>
      <c r="J134" s="33"/>
      <c r="K134" s="34"/>
      <c r="L134" s="34"/>
      <c r="M134" s="32"/>
      <c r="N134" s="32"/>
    </row>
    <row r="135" spans="1:14" ht="105" x14ac:dyDescent="0.25">
      <c r="A135" s="164">
        <v>116</v>
      </c>
      <c r="B135" s="154" t="s">
        <v>115</v>
      </c>
      <c r="C135" s="12" t="s">
        <v>159</v>
      </c>
      <c r="D135" s="25" t="s">
        <v>161</v>
      </c>
      <c r="E135" s="112" t="s">
        <v>8</v>
      </c>
      <c r="F135" s="20">
        <v>47.76</v>
      </c>
      <c r="G135" s="13">
        <v>68.150000000000006</v>
      </c>
      <c r="H135" s="13">
        <f t="shared" ref="H135:H136" si="45">G135+G135*B$18</f>
        <v>83.463305000000005</v>
      </c>
      <c r="I135" s="13">
        <f t="shared" ref="I135:I136" si="46">H135*F135</f>
        <v>3986.2074468000001</v>
      </c>
      <c r="J135" s="33"/>
      <c r="K135" s="34"/>
      <c r="L135" s="34"/>
      <c r="M135" s="32"/>
      <c r="N135" s="32"/>
    </row>
    <row r="136" spans="1:14" ht="105" x14ac:dyDescent="0.25">
      <c r="A136" s="164">
        <v>117</v>
      </c>
      <c r="B136" s="154" t="s">
        <v>103</v>
      </c>
      <c r="C136" s="12" t="s">
        <v>159</v>
      </c>
      <c r="D136" s="25" t="s">
        <v>161</v>
      </c>
      <c r="E136" s="112" t="s">
        <v>8</v>
      </c>
      <c r="F136" s="20">
        <v>51.6</v>
      </c>
      <c r="G136" s="13">
        <v>68.150000000000006</v>
      </c>
      <c r="H136" s="13">
        <f t="shared" si="45"/>
        <v>83.463305000000005</v>
      </c>
      <c r="I136" s="13">
        <f t="shared" si="46"/>
        <v>4306.7065380000004</v>
      </c>
      <c r="J136" s="33"/>
      <c r="K136" s="34"/>
      <c r="L136" s="34"/>
      <c r="M136" s="32"/>
      <c r="N136" s="32"/>
    </row>
    <row r="137" spans="1:14" ht="105" x14ac:dyDescent="0.25">
      <c r="A137" s="164">
        <v>118</v>
      </c>
      <c r="B137" s="154" t="s">
        <v>116</v>
      </c>
      <c r="C137" s="12" t="s">
        <v>159</v>
      </c>
      <c r="D137" s="25" t="s">
        <v>161</v>
      </c>
      <c r="E137" s="112" t="s">
        <v>8</v>
      </c>
      <c r="F137" s="20">
        <v>51.6</v>
      </c>
      <c r="G137" s="13">
        <v>68.150000000000006</v>
      </c>
      <c r="H137" s="13">
        <f t="shared" ref="H137:H144" si="47">G137+G137*B$18</f>
        <v>83.463305000000005</v>
      </c>
      <c r="I137" s="13">
        <f t="shared" ref="I137:I144" si="48">H137*F137</f>
        <v>4306.7065380000004</v>
      </c>
      <c r="J137" s="33"/>
      <c r="K137" s="34"/>
      <c r="L137" s="34"/>
      <c r="M137" s="32"/>
      <c r="N137" s="32"/>
    </row>
    <row r="138" spans="1:14" ht="45" x14ac:dyDescent="0.25">
      <c r="A138" s="164">
        <v>119</v>
      </c>
      <c r="B138" s="154" t="s">
        <v>114</v>
      </c>
      <c r="C138" s="12" t="s">
        <v>176</v>
      </c>
      <c r="D138" s="25" t="s">
        <v>175</v>
      </c>
      <c r="E138" s="112" t="s">
        <v>8</v>
      </c>
      <c r="F138" s="20">
        <v>48.06</v>
      </c>
      <c r="G138" s="13">
        <v>21.09</v>
      </c>
      <c r="H138" s="13">
        <f t="shared" si="47"/>
        <v>25.828923</v>
      </c>
      <c r="I138" s="13">
        <f t="shared" si="48"/>
        <v>1241.3380393800001</v>
      </c>
      <c r="J138" s="33"/>
      <c r="K138" s="34"/>
      <c r="L138" s="34"/>
      <c r="M138" s="32"/>
      <c r="N138" s="32"/>
    </row>
    <row r="139" spans="1:14" ht="45" x14ac:dyDescent="0.25">
      <c r="A139" s="164">
        <v>120</v>
      </c>
      <c r="B139" s="154" t="s">
        <v>115</v>
      </c>
      <c r="C139" s="12" t="s">
        <v>176</v>
      </c>
      <c r="D139" s="25" t="s">
        <v>175</v>
      </c>
      <c r="E139" s="112" t="s">
        <v>8</v>
      </c>
      <c r="F139" s="20">
        <v>47.76</v>
      </c>
      <c r="G139" s="13">
        <v>21.09</v>
      </c>
      <c r="H139" s="13">
        <f t="shared" ref="H139:H141" si="49">G139+G139*B$18</f>
        <v>25.828923</v>
      </c>
      <c r="I139" s="13">
        <f t="shared" ref="I139:I141" si="50">H139*F139</f>
        <v>1233.5893624799999</v>
      </c>
      <c r="J139" s="33"/>
      <c r="K139" s="34"/>
      <c r="L139" s="34"/>
      <c r="M139" s="32"/>
      <c r="N139" s="32"/>
    </row>
    <row r="140" spans="1:14" ht="45" x14ac:dyDescent="0.25">
      <c r="A140" s="164">
        <v>121</v>
      </c>
      <c r="B140" s="154" t="s">
        <v>103</v>
      </c>
      <c r="C140" s="12" t="s">
        <v>176</v>
      </c>
      <c r="D140" s="25" t="s">
        <v>175</v>
      </c>
      <c r="E140" s="112" t="s">
        <v>8</v>
      </c>
      <c r="F140" s="20">
        <v>51.6</v>
      </c>
      <c r="G140" s="13">
        <v>21.09</v>
      </c>
      <c r="H140" s="13">
        <f t="shared" si="49"/>
        <v>25.828923</v>
      </c>
      <c r="I140" s="13">
        <f t="shared" si="50"/>
        <v>1332.7724267999999</v>
      </c>
      <c r="J140" s="33"/>
      <c r="K140" s="34"/>
      <c r="L140" s="34"/>
      <c r="M140" s="32"/>
      <c r="N140" s="32"/>
    </row>
    <row r="141" spans="1:14" ht="45" x14ac:dyDescent="0.25">
      <c r="A141" s="164">
        <v>122</v>
      </c>
      <c r="B141" s="154" t="s">
        <v>116</v>
      </c>
      <c r="C141" s="12" t="s">
        <v>176</v>
      </c>
      <c r="D141" s="25" t="s">
        <v>175</v>
      </c>
      <c r="E141" s="112" t="s">
        <v>8</v>
      </c>
      <c r="F141" s="20">
        <v>51.6</v>
      </c>
      <c r="G141" s="13">
        <v>21.09</v>
      </c>
      <c r="H141" s="13">
        <f t="shared" si="49"/>
        <v>25.828923</v>
      </c>
      <c r="I141" s="13">
        <f t="shared" si="50"/>
        <v>1332.7724267999999</v>
      </c>
      <c r="J141" s="33"/>
      <c r="K141" s="34"/>
      <c r="L141" s="34"/>
      <c r="M141" s="32"/>
      <c r="N141" s="32"/>
    </row>
    <row r="142" spans="1:14" ht="30" x14ac:dyDescent="0.25">
      <c r="A142" s="164">
        <v>123</v>
      </c>
      <c r="B142" s="154"/>
      <c r="C142" s="12" t="s">
        <v>163</v>
      </c>
      <c r="D142" s="25" t="s">
        <v>162</v>
      </c>
      <c r="E142" s="112" t="s">
        <v>19</v>
      </c>
      <c r="F142" s="20">
        <v>160.71</v>
      </c>
      <c r="G142" s="13">
        <v>63.08</v>
      </c>
      <c r="H142" s="13">
        <f t="shared" si="47"/>
        <v>77.254075999999998</v>
      </c>
      <c r="I142" s="13">
        <f t="shared" si="48"/>
        <v>12415.502553960001</v>
      </c>
      <c r="J142" s="33"/>
      <c r="K142" s="34"/>
      <c r="L142" s="34"/>
      <c r="M142" s="32"/>
      <c r="N142" s="32"/>
    </row>
    <row r="143" spans="1:14" ht="105" x14ac:dyDescent="0.25">
      <c r="A143" s="164">
        <v>124</v>
      </c>
      <c r="B143" s="154" t="s">
        <v>164</v>
      </c>
      <c r="C143" s="12" t="s">
        <v>165</v>
      </c>
      <c r="D143" s="25" t="s">
        <v>166</v>
      </c>
      <c r="E143" s="112" t="s">
        <v>8</v>
      </c>
      <c r="F143" s="20">
        <f>12.94*2.7-1*2.1</f>
        <v>32.838000000000001</v>
      </c>
      <c r="G143" s="13">
        <v>54.41</v>
      </c>
      <c r="H143" s="13">
        <f t="shared" si="47"/>
        <v>66.635926999999995</v>
      </c>
      <c r="I143" s="13">
        <f t="shared" si="48"/>
        <v>2188.1905708260001</v>
      </c>
      <c r="J143" s="33"/>
      <c r="K143" s="148"/>
      <c r="L143" s="34"/>
      <c r="M143" s="32"/>
      <c r="N143" s="32"/>
    </row>
    <row r="144" spans="1:14" ht="45" x14ac:dyDescent="0.25">
      <c r="A144" s="164">
        <v>125</v>
      </c>
      <c r="B144" s="154" t="s">
        <v>164</v>
      </c>
      <c r="C144" s="12" t="s">
        <v>176</v>
      </c>
      <c r="D144" s="25" t="s">
        <v>175</v>
      </c>
      <c r="E144" s="112" t="s">
        <v>8</v>
      </c>
      <c r="F144" s="20">
        <f>12.94*2.7-1*2.1</f>
        <v>32.838000000000001</v>
      </c>
      <c r="G144" s="13">
        <v>21.09</v>
      </c>
      <c r="H144" s="13">
        <f t="shared" si="47"/>
        <v>25.828923</v>
      </c>
      <c r="I144" s="13">
        <f t="shared" si="48"/>
        <v>848.17017347399997</v>
      </c>
      <c r="J144" s="33"/>
      <c r="K144" s="148"/>
      <c r="L144" s="34"/>
      <c r="M144" s="32"/>
      <c r="N144" s="32"/>
    </row>
    <row r="145" spans="1:14" ht="105" x14ac:dyDescent="0.25">
      <c r="A145" s="164">
        <v>126</v>
      </c>
      <c r="B145" s="154" t="s">
        <v>164</v>
      </c>
      <c r="C145" s="12" t="s">
        <v>159</v>
      </c>
      <c r="D145" s="25" t="s">
        <v>161</v>
      </c>
      <c r="E145" s="112" t="s">
        <v>8</v>
      </c>
      <c r="F145" s="20">
        <v>6.48</v>
      </c>
      <c r="G145" s="13">
        <v>68.150000000000006</v>
      </c>
      <c r="H145" s="13">
        <f t="shared" ref="H145:H147" si="51">G145+G145*B$18</f>
        <v>83.463305000000005</v>
      </c>
      <c r="I145" s="13">
        <f t="shared" ref="I145:I147" si="52">H145*F145</f>
        <v>540.8422164000001</v>
      </c>
      <c r="J145" s="33"/>
      <c r="K145" s="34"/>
      <c r="L145" s="34"/>
      <c r="M145" s="32"/>
      <c r="N145" s="32"/>
    </row>
    <row r="146" spans="1:14" ht="45" x14ac:dyDescent="0.25">
      <c r="A146" s="164">
        <v>127</v>
      </c>
      <c r="B146" s="154" t="s">
        <v>126</v>
      </c>
      <c r="C146" s="12" t="s">
        <v>169</v>
      </c>
      <c r="D146" s="25" t="s">
        <v>167</v>
      </c>
      <c r="E146" s="112" t="s">
        <v>8</v>
      </c>
      <c r="F146" s="20">
        <f>3*8</f>
        <v>24</v>
      </c>
      <c r="G146" s="13">
        <v>135.80000000000001</v>
      </c>
      <c r="H146" s="13">
        <f t="shared" si="51"/>
        <v>166.31426000000002</v>
      </c>
      <c r="I146" s="13">
        <f t="shared" si="52"/>
        <v>3991.5422400000007</v>
      </c>
      <c r="J146" s="33"/>
      <c r="K146" s="34"/>
      <c r="L146" s="34"/>
      <c r="M146" s="32"/>
      <c r="N146" s="32"/>
    </row>
    <row r="147" spans="1:14" ht="45" x14ac:dyDescent="0.25">
      <c r="A147" s="164">
        <v>128</v>
      </c>
      <c r="B147" s="154" t="s">
        <v>127</v>
      </c>
      <c r="C147" s="12" t="s">
        <v>169</v>
      </c>
      <c r="D147" s="25" t="s">
        <v>168</v>
      </c>
      <c r="E147" s="112" t="s">
        <v>8</v>
      </c>
      <c r="F147" s="20">
        <f>3*8.5</f>
        <v>25.5</v>
      </c>
      <c r="G147" s="13">
        <v>135.80000000000001</v>
      </c>
      <c r="H147" s="13">
        <f t="shared" si="51"/>
        <v>166.31426000000002</v>
      </c>
      <c r="I147" s="13">
        <f t="shared" si="52"/>
        <v>4241.0136300000004</v>
      </c>
      <c r="J147" s="33"/>
      <c r="K147" s="34"/>
      <c r="L147" s="34"/>
      <c r="M147" s="32"/>
      <c r="N147" s="32"/>
    </row>
    <row r="148" spans="1:14" x14ac:dyDescent="0.25">
      <c r="A148" s="164">
        <v>129</v>
      </c>
      <c r="B148" s="154" t="s">
        <v>126</v>
      </c>
      <c r="C148" s="12" t="s">
        <v>170</v>
      </c>
      <c r="D148" s="25" t="s">
        <v>363</v>
      </c>
      <c r="E148" s="112" t="s">
        <v>362</v>
      </c>
      <c r="F148" s="20">
        <v>1</v>
      </c>
      <c r="G148" s="188">
        <v>2640</v>
      </c>
      <c r="H148" s="13">
        <f t="shared" ref="H148:H149" si="53">G148+G148*B$18</f>
        <v>3233.2080000000001</v>
      </c>
      <c r="I148" s="13">
        <f t="shared" ref="I148:I155" si="54">H148*F148</f>
        <v>3233.2080000000001</v>
      </c>
      <c r="J148" s="33"/>
      <c r="K148" s="34"/>
      <c r="L148" s="34"/>
      <c r="M148" s="32"/>
      <c r="N148" s="32"/>
    </row>
    <row r="149" spans="1:14" x14ac:dyDescent="0.25">
      <c r="A149" s="164">
        <v>130</v>
      </c>
      <c r="B149" s="154" t="s">
        <v>127</v>
      </c>
      <c r="C149" s="12" t="s">
        <v>170</v>
      </c>
      <c r="D149" s="25" t="s">
        <v>364</v>
      </c>
      <c r="E149" s="112" t="s">
        <v>362</v>
      </c>
      <c r="F149" s="20">
        <v>1</v>
      </c>
      <c r="G149" s="188">
        <v>2805</v>
      </c>
      <c r="H149" s="13">
        <f t="shared" si="53"/>
        <v>3435.2835</v>
      </c>
      <c r="I149" s="13">
        <f t="shared" si="54"/>
        <v>3435.2835</v>
      </c>
      <c r="J149" s="33"/>
      <c r="K149" s="34"/>
      <c r="L149" s="34"/>
      <c r="M149" s="32"/>
      <c r="N149" s="32"/>
    </row>
    <row r="150" spans="1:14" ht="60" x14ac:dyDescent="0.25">
      <c r="A150" s="164">
        <v>131</v>
      </c>
      <c r="B150" s="207" t="s">
        <v>172</v>
      </c>
      <c r="C150" s="160" t="s">
        <v>18</v>
      </c>
      <c r="D150" s="163" t="s">
        <v>9</v>
      </c>
      <c r="E150" s="112" t="s">
        <v>8</v>
      </c>
      <c r="F150" s="20">
        <f>4.48*0.6</f>
        <v>2.6880000000000002</v>
      </c>
      <c r="G150" s="13">
        <v>38.659999999999997</v>
      </c>
      <c r="H150" s="13">
        <f>G150+G150*B$18</f>
        <v>47.346902</v>
      </c>
      <c r="I150" s="13">
        <f t="shared" si="54"/>
        <v>127.26847257600001</v>
      </c>
      <c r="J150" s="33"/>
      <c r="K150" s="34"/>
      <c r="L150" s="34"/>
      <c r="M150" s="32"/>
      <c r="N150" s="32"/>
    </row>
    <row r="151" spans="1:14" ht="60" x14ac:dyDescent="0.25">
      <c r="A151" s="164">
        <v>132</v>
      </c>
      <c r="B151" s="207"/>
      <c r="C151" s="160" t="s">
        <v>12</v>
      </c>
      <c r="D151" s="163" t="s">
        <v>14</v>
      </c>
      <c r="E151" s="112" t="s">
        <v>8</v>
      </c>
      <c r="F151" s="20">
        <f>2*F150</f>
        <v>5.3760000000000003</v>
      </c>
      <c r="G151" s="13">
        <v>5.51</v>
      </c>
      <c r="H151" s="13">
        <f t="shared" ref="H151:H155" si="55">G151+G151*B$18</f>
        <v>6.7480969999999996</v>
      </c>
      <c r="I151" s="13">
        <f t="shared" si="54"/>
        <v>36.277769472000003</v>
      </c>
      <c r="J151" s="33"/>
      <c r="K151" s="34"/>
      <c r="L151" s="34"/>
      <c r="M151" s="32"/>
      <c r="N151" s="32"/>
    </row>
    <row r="152" spans="1:14" ht="45" x14ac:dyDescent="0.25">
      <c r="A152" s="164">
        <v>133</v>
      </c>
      <c r="B152" s="207"/>
      <c r="C152" s="160" t="s">
        <v>13</v>
      </c>
      <c r="D152" s="163" t="s">
        <v>15</v>
      </c>
      <c r="E152" s="112" t="s">
        <v>8</v>
      </c>
      <c r="F152" s="20">
        <f>F151</f>
        <v>5.3760000000000003</v>
      </c>
      <c r="G152" s="13">
        <v>20.43</v>
      </c>
      <c r="H152" s="13">
        <f t="shared" si="55"/>
        <v>25.020620999999998</v>
      </c>
      <c r="I152" s="13">
        <f t="shared" si="54"/>
        <v>134.510858496</v>
      </c>
      <c r="J152" s="33"/>
      <c r="K152" s="34"/>
      <c r="L152" s="34"/>
      <c r="M152" s="32"/>
      <c r="N152" s="32"/>
    </row>
    <row r="153" spans="1:14" ht="45" x14ac:dyDescent="0.25">
      <c r="A153" s="164">
        <v>134</v>
      </c>
      <c r="B153" s="207"/>
      <c r="C153" s="160" t="s">
        <v>17</v>
      </c>
      <c r="D153" s="163" t="s">
        <v>16</v>
      </c>
      <c r="E153" s="112" t="s">
        <v>8</v>
      </c>
      <c r="F153" s="20">
        <f>F152</f>
        <v>5.3760000000000003</v>
      </c>
      <c r="G153" s="13">
        <v>19.2</v>
      </c>
      <c r="H153" s="13">
        <f t="shared" si="55"/>
        <v>23.514240000000001</v>
      </c>
      <c r="I153" s="13">
        <f t="shared" si="54"/>
        <v>126.41255424000001</v>
      </c>
      <c r="J153" s="33"/>
      <c r="K153" s="34"/>
      <c r="L153" s="34"/>
      <c r="M153" s="32"/>
      <c r="N153" s="32"/>
    </row>
    <row r="154" spans="1:14" x14ac:dyDescent="0.25">
      <c r="A154" s="164">
        <v>135</v>
      </c>
      <c r="B154" s="207"/>
      <c r="C154" s="157" t="s">
        <v>174</v>
      </c>
      <c r="D154" s="141" t="s">
        <v>173</v>
      </c>
      <c r="E154" s="112" t="s">
        <v>19</v>
      </c>
      <c r="F154" s="20">
        <v>4.68</v>
      </c>
      <c r="G154" s="13">
        <v>106.8</v>
      </c>
      <c r="H154" s="13">
        <f t="shared" si="55"/>
        <v>130.79795999999999</v>
      </c>
      <c r="I154" s="13">
        <f t="shared" si="54"/>
        <v>612.13445279999996</v>
      </c>
      <c r="J154" s="33"/>
      <c r="K154" s="34"/>
      <c r="L154" s="34"/>
      <c r="M154" s="32"/>
      <c r="N154" s="32"/>
    </row>
    <row r="155" spans="1:14" ht="60" x14ac:dyDescent="0.25">
      <c r="A155" s="164">
        <v>136</v>
      </c>
      <c r="B155" s="207"/>
      <c r="C155" s="144" t="s">
        <v>86</v>
      </c>
      <c r="D155" s="147" t="s">
        <v>87</v>
      </c>
      <c r="E155" s="112" t="s">
        <v>8</v>
      </c>
      <c r="F155" s="20">
        <f>0.2*4.68</f>
        <v>0.93599999999999994</v>
      </c>
      <c r="G155" s="13">
        <v>11.82</v>
      </c>
      <c r="H155" s="13">
        <f t="shared" si="55"/>
        <v>14.475954000000002</v>
      </c>
      <c r="I155" s="13">
        <f t="shared" si="54"/>
        <v>13.549492944000001</v>
      </c>
      <c r="J155" s="33"/>
      <c r="K155" s="34"/>
      <c r="L155" s="34"/>
      <c r="M155" s="32"/>
      <c r="N155" s="32"/>
    </row>
    <row r="156" spans="1:14" ht="45" x14ac:dyDescent="0.25">
      <c r="A156" s="164">
        <v>137</v>
      </c>
      <c r="B156" s="207"/>
      <c r="C156" s="12" t="s">
        <v>176</v>
      </c>
      <c r="D156" s="25" t="s">
        <v>175</v>
      </c>
      <c r="E156" s="112" t="s">
        <v>8</v>
      </c>
      <c r="F156" s="20">
        <f>F155</f>
        <v>0.93599999999999994</v>
      </c>
      <c r="G156" s="13">
        <v>21.09</v>
      </c>
      <c r="H156" s="13">
        <f>G156+G156*C$18</f>
        <v>21.09</v>
      </c>
      <c r="I156" s="13">
        <f t="shared" ref="I156" si="56">H156*F156</f>
        <v>19.74024</v>
      </c>
      <c r="K156" s="34"/>
      <c r="L156" s="34"/>
      <c r="M156" s="32"/>
      <c r="N156" s="32"/>
    </row>
    <row r="157" spans="1:14" x14ac:dyDescent="0.25">
      <c r="A157" s="164">
        <v>138</v>
      </c>
      <c r="B157" s="212" t="s">
        <v>80</v>
      </c>
      <c r="C157" s="212"/>
      <c r="D157" s="212"/>
      <c r="E157" s="212"/>
      <c r="F157" s="212"/>
      <c r="G157" s="212"/>
      <c r="H157" s="212"/>
      <c r="I157" s="30">
        <f>SUM(I158:I273)</f>
        <v>62001.400420374994</v>
      </c>
      <c r="J157" s="33"/>
      <c r="K157" s="34"/>
      <c r="L157" s="34"/>
      <c r="M157" s="32"/>
      <c r="N157" s="32"/>
    </row>
    <row r="158" spans="1:14" ht="75" x14ac:dyDescent="0.25">
      <c r="A158" s="164">
        <v>139</v>
      </c>
      <c r="B158" s="209" t="s">
        <v>104</v>
      </c>
      <c r="C158" s="112" t="s">
        <v>150</v>
      </c>
      <c r="D158" s="163" t="s">
        <v>147</v>
      </c>
      <c r="E158" s="112" t="s">
        <v>146</v>
      </c>
      <c r="F158" s="112">
        <v>6</v>
      </c>
      <c r="G158" s="112">
        <v>12</v>
      </c>
      <c r="H158" s="13">
        <f t="shared" ref="H158:H159" si="57">G158+G158*B$18</f>
        <v>14.696400000000001</v>
      </c>
      <c r="I158" s="13">
        <f t="shared" ref="I158:I159" si="58">H158*F158</f>
        <v>88.178400000000011</v>
      </c>
      <c r="J158" s="33"/>
      <c r="K158" s="34"/>
      <c r="L158" s="34"/>
      <c r="M158" s="32"/>
      <c r="N158" s="32"/>
    </row>
    <row r="159" spans="1:14" ht="45" x14ac:dyDescent="0.25">
      <c r="A159" s="164">
        <v>140</v>
      </c>
      <c r="B159" s="209"/>
      <c r="C159" s="112" t="s">
        <v>149</v>
      </c>
      <c r="D159" s="163" t="s">
        <v>148</v>
      </c>
      <c r="E159" s="112" t="s">
        <v>19</v>
      </c>
      <c r="F159" s="112">
        <v>6</v>
      </c>
      <c r="G159" s="142">
        <v>6.52</v>
      </c>
      <c r="H159" s="13">
        <f t="shared" si="57"/>
        <v>7.9850439999999994</v>
      </c>
      <c r="I159" s="13">
        <f t="shared" si="58"/>
        <v>47.910263999999998</v>
      </c>
      <c r="J159" s="33"/>
      <c r="K159" s="34"/>
      <c r="L159" s="34"/>
      <c r="M159" s="32"/>
      <c r="N159" s="32"/>
    </row>
    <row r="160" spans="1:14" ht="45" x14ac:dyDescent="0.25">
      <c r="A160" s="164">
        <v>141</v>
      </c>
      <c r="B160" s="207" t="s">
        <v>114</v>
      </c>
      <c r="C160" s="12" t="s">
        <v>68</v>
      </c>
      <c r="D160" s="25" t="s">
        <v>69</v>
      </c>
      <c r="E160" s="112" t="s">
        <v>8</v>
      </c>
      <c r="F160" s="20">
        <f>27.89*3.9-F162</f>
        <v>90.816000000000003</v>
      </c>
      <c r="G160" s="13">
        <v>8.64</v>
      </c>
      <c r="H160" s="13">
        <f t="shared" ref="H160:H191" si="59">G160+G160*B$18</f>
        <v>10.581408000000001</v>
      </c>
      <c r="I160" s="13">
        <f t="shared" ref="I160:I191" si="60">H160*F160</f>
        <v>960.96114892800017</v>
      </c>
      <c r="J160" s="33"/>
      <c r="K160" s="34"/>
      <c r="L160" s="34"/>
      <c r="M160" s="32"/>
      <c r="N160" s="32"/>
    </row>
    <row r="161" spans="1:14" ht="60" x14ac:dyDescent="0.25">
      <c r="A161" s="164">
        <v>142</v>
      </c>
      <c r="B161" s="207"/>
      <c r="C161" s="12" t="s">
        <v>70</v>
      </c>
      <c r="D161" s="25" t="s">
        <v>71</v>
      </c>
      <c r="E161" s="112" t="s">
        <v>8</v>
      </c>
      <c r="F161" s="20">
        <f>F160</f>
        <v>90.816000000000003</v>
      </c>
      <c r="G161" s="13">
        <v>4.21</v>
      </c>
      <c r="H161" s="13">
        <f t="shared" si="59"/>
        <v>5.1559869999999997</v>
      </c>
      <c r="I161" s="13">
        <f t="shared" si="60"/>
        <v>468.24611539199998</v>
      </c>
      <c r="J161" s="33"/>
      <c r="K161" s="34"/>
      <c r="L161" s="34"/>
      <c r="M161" s="32"/>
      <c r="N161" s="32"/>
    </row>
    <row r="162" spans="1:14" ht="60" x14ac:dyDescent="0.25">
      <c r="A162" s="164">
        <v>143</v>
      </c>
      <c r="B162" s="207"/>
      <c r="C162" s="12" t="s">
        <v>72</v>
      </c>
      <c r="D162" s="163" t="s">
        <v>177</v>
      </c>
      <c r="E162" s="112" t="s">
        <v>8</v>
      </c>
      <c r="F162" s="20">
        <f>1.05*3.1*5+0.8*2.1</f>
        <v>17.955000000000002</v>
      </c>
      <c r="G162" s="13">
        <v>22.57</v>
      </c>
      <c r="H162" s="13">
        <f t="shared" si="59"/>
        <v>27.641479</v>
      </c>
      <c r="I162" s="13">
        <f t="shared" si="60"/>
        <v>496.30275544500006</v>
      </c>
      <c r="J162" s="33"/>
      <c r="K162" s="34"/>
      <c r="L162" s="34"/>
      <c r="M162" s="32"/>
      <c r="N162" s="32"/>
    </row>
    <row r="163" spans="1:14" ht="60" x14ac:dyDescent="0.25">
      <c r="A163" s="164">
        <v>144</v>
      </c>
      <c r="B163" s="207"/>
      <c r="C163" s="160" t="s">
        <v>74</v>
      </c>
      <c r="D163" s="163" t="s">
        <v>75</v>
      </c>
      <c r="E163" s="112" t="s">
        <v>8</v>
      </c>
      <c r="F163" s="20">
        <v>47.61</v>
      </c>
      <c r="G163" s="13">
        <v>14.14</v>
      </c>
      <c r="H163" s="13">
        <f t="shared" si="59"/>
        <v>17.317258000000002</v>
      </c>
      <c r="I163" s="13">
        <f t="shared" si="60"/>
        <v>824.47465338000006</v>
      </c>
      <c r="J163" s="33"/>
      <c r="K163" s="34"/>
      <c r="L163" s="34"/>
      <c r="M163" s="32"/>
      <c r="N163" s="32"/>
    </row>
    <row r="164" spans="1:14" ht="60" x14ac:dyDescent="0.25">
      <c r="A164" s="164">
        <v>145</v>
      </c>
      <c r="B164" s="207"/>
      <c r="C164" s="113" t="s">
        <v>76</v>
      </c>
      <c r="D164" s="42" t="s">
        <v>77</v>
      </c>
      <c r="E164" s="112" t="s">
        <v>8</v>
      </c>
      <c r="F164" s="20">
        <v>47.61</v>
      </c>
      <c r="G164" s="13">
        <v>5.28</v>
      </c>
      <c r="H164" s="13">
        <f t="shared" si="59"/>
        <v>6.4664160000000006</v>
      </c>
      <c r="I164" s="13">
        <f t="shared" si="60"/>
        <v>307.86606576000003</v>
      </c>
      <c r="J164" s="33"/>
      <c r="K164" s="34"/>
      <c r="L164" s="34"/>
      <c r="M164" s="32"/>
      <c r="N164" s="32"/>
    </row>
    <row r="165" spans="1:14" ht="45" x14ac:dyDescent="0.25">
      <c r="A165" s="164">
        <v>146</v>
      </c>
      <c r="B165" s="207" t="s">
        <v>115</v>
      </c>
      <c r="C165" s="12" t="s">
        <v>68</v>
      </c>
      <c r="D165" s="25" t="s">
        <v>69</v>
      </c>
      <c r="E165" s="112" t="s">
        <v>8</v>
      </c>
      <c r="F165" s="20">
        <f>27.94*3.9-F167</f>
        <v>91.01100000000001</v>
      </c>
      <c r="G165" s="13">
        <v>8.64</v>
      </c>
      <c r="H165" s="13">
        <f t="shared" si="59"/>
        <v>10.581408000000001</v>
      </c>
      <c r="I165" s="13">
        <f t="shared" si="60"/>
        <v>963.02452348800023</v>
      </c>
      <c r="J165" s="33"/>
      <c r="K165" s="34"/>
      <c r="L165" s="34"/>
      <c r="M165" s="32"/>
      <c r="N165" s="32"/>
    </row>
    <row r="166" spans="1:14" ht="60" x14ac:dyDescent="0.25">
      <c r="A166" s="164">
        <v>147</v>
      </c>
      <c r="B166" s="207"/>
      <c r="C166" s="12" t="s">
        <v>70</v>
      </c>
      <c r="D166" s="25" t="s">
        <v>71</v>
      </c>
      <c r="E166" s="112" t="s">
        <v>8</v>
      </c>
      <c r="F166" s="20">
        <f>F165</f>
        <v>91.01100000000001</v>
      </c>
      <c r="G166" s="13">
        <v>4.21</v>
      </c>
      <c r="H166" s="13">
        <f t="shared" si="59"/>
        <v>5.1559869999999997</v>
      </c>
      <c r="I166" s="13">
        <f t="shared" si="60"/>
        <v>469.25153285700003</v>
      </c>
      <c r="J166" s="33"/>
      <c r="K166" s="34"/>
      <c r="L166" s="34"/>
      <c r="M166" s="32"/>
      <c r="N166" s="32"/>
    </row>
    <row r="167" spans="1:14" ht="60" x14ac:dyDescent="0.25">
      <c r="A167" s="164">
        <v>148</v>
      </c>
      <c r="B167" s="207"/>
      <c r="C167" s="12" t="s">
        <v>72</v>
      </c>
      <c r="D167" s="163" t="s">
        <v>177</v>
      </c>
      <c r="E167" s="112" t="s">
        <v>8</v>
      </c>
      <c r="F167" s="20">
        <f>1.05*3.1*5+0.8*2.1</f>
        <v>17.955000000000002</v>
      </c>
      <c r="G167" s="13">
        <v>22.57</v>
      </c>
      <c r="H167" s="13">
        <f t="shared" si="59"/>
        <v>27.641479</v>
      </c>
      <c r="I167" s="13">
        <f t="shared" si="60"/>
        <v>496.30275544500006</v>
      </c>
      <c r="J167" s="33"/>
      <c r="K167" s="34"/>
      <c r="L167" s="34"/>
      <c r="M167" s="32"/>
      <c r="N167" s="32"/>
    </row>
    <row r="168" spans="1:14" ht="60" x14ac:dyDescent="0.25">
      <c r="A168" s="164">
        <v>149</v>
      </c>
      <c r="B168" s="207"/>
      <c r="C168" s="160" t="s">
        <v>74</v>
      </c>
      <c r="D168" s="163" t="s">
        <v>75</v>
      </c>
      <c r="E168" s="112" t="s">
        <v>8</v>
      </c>
      <c r="F168" s="20">
        <v>47.76</v>
      </c>
      <c r="G168" s="13">
        <v>14.14</v>
      </c>
      <c r="H168" s="13">
        <f t="shared" si="59"/>
        <v>17.317258000000002</v>
      </c>
      <c r="I168" s="13">
        <f t="shared" si="60"/>
        <v>827.07224208000014</v>
      </c>
      <c r="J168" s="33"/>
      <c r="K168" s="34"/>
      <c r="L168" s="34"/>
      <c r="M168" s="32"/>
      <c r="N168" s="32"/>
    </row>
    <row r="169" spans="1:14" ht="60" x14ac:dyDescent="0.25">
      <c r="A169" s="164">
        <v>150</v>
      </c>
      <c r="B169" s="207"/>
      <c r="C169" s="113" t="s">
        <v>76</v>
      </c>
      <c r="D169" s="42" t="s">
        <v>77</v>
      </c>
      <c r="E169" s="112" t="s">
        <v>8</v>
      </c>
      <c r="F169" s="20">
        <v>47.76</v>
      </c>
      <c r="G169" s="13">
        <v>5.28</v>
      </c>
      <c r="H169" s="13">
        <f t="shared" si="59"/>
        <v>6.4664160000000006</v>
      </c>
      <c r="I169" s="13">
        <f t="shared" si="60"/>
        <v>308.83602816000001</v>
      </c>
      <c r="J169" s="33"/>
      <c r="K169" s="34"/>
      <c r="L169" s="34"/>
      <c r="M169" s="32"/>
      <c r="N169" s="32"/>
    </row>
    <row r="170" spans="1:14" ht="45" x14ac:dyDescent="0.25">
      <c r="A170" s="164">
        <v>151</v>
      </c>
      <c r="B170" s="207" t="s">
        <v>103</v>
      </c>
      <c r="C170" s="12" t="s">
        <v>68</v>
      </c>
      <c r="D170" s="25" t="s">
        <v>69</v>
      </c>
      <c r="E170" s="112" t="s">
        <v>8</v>
      </c>
      <c r="F170" s="20">
        <f>24.6*3.9-F172</f>
        <v>90.509999999999991</v>
      </c>
      <c r="G170" s="13">
        <v>8.64</v>
      </c>
      <c r="H170" s="13">
        <f t="shared" si="59"/>
        <v>10.581408000000001</v>
      </c>
      <c r="I170" s="13">
        <f t="shared" si="60"/>
        <v>957.72323807999999</v>
      </c>
      <c r="J170" s="33"/>
      <c r="K170" s="34"/>
      <c r="L170" s="34"/>
      <c r="M170" s="32"/>
      <c r="N170" s="32"/>
    </row>
    <row r="171" spans="1:14" ht="60" x14ac:dyDescent="0.25">
      <c r="A171" s="164">
        <v>152</v>
      </c>
      <c r="B171" s="207"/>
      <c r="C171" s="12" t="s">
        <v>70</v>
      </c>
      <c r="D171" s="25" t="s">
        <v>71</v>
      </c>
      <c r="E171" s="112" t="s">
        <v>8</v>
      </c>
      <c r="F171" s="20">
        <f>F170</f>
        <v>90.509999999999991</v>
      </c>
      <c r="G171" s="13">
        <v>4.21</v>
      </c>
      <c r="H171" s="13">
        <f t="shared" si="59"/>
        <v>5.1559869999999997</v>
      </c>
      <c r="I171" s="13">
        <f t="shared" si="60"/>
        <v>466.6683833699999</v>
      </c>
      <c r="J171" s="33"/>
      <c r="K171" s="34"/>
      <c r="L171" s="34"/>
      <c r="M171" s="32"/>
      <c r="N171" s="32"/>
    </row>
    <row r="172" spans="1:14" ht="60" x14ac:dyDescent="0.25">
      <c r="A172" s="164">
        <v>153</v>
      </c>
      <c r="B172" s="207"/>
      <c r="C172" s="12" t="s">
        <v>72</v>
      </c>
      <c r="D172" s="163" t="s">
        <v>177</v>
      </c>
      <c r="E172" s="112" t="s">
        <v>8</v>
      </c>
      <c r="F172" s="20">
        <f>2.5*1.5+0.8*2.1</f>
        <v>5.43</v>
      </c>
      <c r="G172" s="13">
        <v>22.57</v>
      </c>
      <c r="H172" s="13">
        <f t="shared" si="59"/>
        <v>27.641479</v>
      </c>
      <c r="I172" s="13">
        <f t="shared" si="60"/>
        <v>150.09323097000001</v>
      </c>
      <c r="J172" s="33"/>
      <c r="K172" s="34"/>
      <c r="L172" s="34"/>
      <c r="M172" s="32"/>
      <c r="N172" s="32"/>
    </row>
    <row r="173" spans="1:14" ht="60" x14ac:dyDescent="0.25">
      <c r="A173" s="164">
        <v>154</v>
      </c>
      <c r="B173" s="207"/>
      <c r="C173" s="160" t="s">
        <v>74</v>
      </c>
      <c r="D173" s="163" t="s">
        <v>75</v>
      </c>
      <c r="E173" s="112" t="s">
        <v>8</v>
      </c>
      <c r="F173" s="20">
        <v>37.729999999999997</v>
      </c>
      <c r="G173" s="13">
        <v>14.14</v>
      </c>
      <c r="H173" s="13">
        <f t="shared" si="59"/>
        <v>17.317258000000002</v>
      </c>
      <c r="I173" s="13">
        <f t="shared" si="60"/>
        <v>653.38014434000002</v>
      </c>
      <c r="J173" s="33"/>
      <c r="K173" s="34"/>
      <c r="L173" s="34"/>
      <c r="M173" s="32"/>
      <c r="N173" s="32"/>
    </row>
    <row r="174" spans="1:14" ht="60" x14ac:dyDescent="0.25">
      <c r="A174" s="164">
        <v>155</v>
      </c>
      <c r="B174" s="207"/>
      <c r="C174" s="113" t="s">
        <v>76</v>
      </c>
      <c r="D174" s="42" t="s">
        <v>77</v>
      </c>
      <c r="E174" s="112" t="s">
        <v>8</v>
      </c>
      <c r="F174" s="20">
        <v>37.729999999999997</v>
      </c>
      <c r="G174" s="13">
        <v>5.28</v>
      </c>
      <c r="H174" s="13">
        <f t="shared" si="59"/>
        <v>6.4664160000000006</v>
      </c>
      <c r="I174" s="13">
        <f t="shared" si="60"/>
        <v>243.97787568000001</v>
      </c>
      <c r="J174" s="33"/>
      <c r="K174" s="34"/>
      <c r="L174" s="34"/>
      <c r="M174" s="32"/>
      <c r="N174" s="32"/>
    </row>
    <row r="175" spans="1:14" ht="45" x14ac:dyDescent="0.25">
      <c r="A175" s="164">
        <v>156</v>
      </c>
      <c r="B175" s="207" t="s">
        <v>178</v>
      </c>
      <c r="C175" s="12" t="s">
        <v>68</v>
      </c>
      <c r="D175" s="25" t="s">
        <v>69</v>
      </c>
      <c r="E175" s="112" t="s">
        <v>8</v>
      </c>
      <c r="F175" s="20">
        <f>16.9*3.9-F177-2*3.9</f>
        <v>56.429999999999993</v>
      </c>
      <c r="G175" s="13">
        <v>8.64</v>
      </c>
      <c r="H175" s="13">
        <f t="shared" si="59"/>
        <v>10.581408000000001</v>
      </c>
      <c r="I175" s="13">
        <f t="shared" si="60"/>
        <v>597.10885343999996</v>
      </c>
      <c r="J175" s="33"/>
      <c r="K175" s="34"/>
      <c r="L175" s="34"/>
      <c r="M175" s="32"/>
      <c r="N175" s="32"/>
    </row>
    <row r="176" spans="1:14" ht="60" x14ac:dyDescent="0.25">
      <c r="A176" s="164">
        <v>157</v>
      </c>
      <c r="B176" s="207"/>
      <c r="C176" s="12" t="s">
        <v>70</v>
      </c>
      <c r="D176" s="25" t="s">
        <v>71</v>
      </c>
      <c r="E176" s="112" t="s">
        <v>8</v>
      </c>
      <c r="F176" s="20">
        <f>F175</f>
        <v>56.429999999999993</v>
      </c>
      <c r="G176" s="13">
        <v>4.21</v>
      </c>
      <c r="H176" s="13">
        <f t="shared" si="59"/>
        <v>5.1559869999999997</v>
      </c>
      <c r="I176" s="13">
        <f t="shared" si="60"/>
        <v>290.95234640999996</v>
      </c>
      <c r="J176" s="33"/>
      <c r="K176" s="34"/>
      <c r="L176" s="34"/>
      <c r="M176" s="32"/>
      <c r="N176" s="32"/>
    </row>
    <row r="177" spans="1:14" ht="60" x14ac:dyDescent="0.25">
      <c r="A177" s="164">
        <v>158</v>
      </c>
      <c r="B177" s="207"/>
      <c r="C177" s="12" t="s">
        <v>72</v>
      </c>
      <c r="D177" s="163" t="s">
        <v>177</v>
      </c>
      <c r="E177" s="112" t="s">
        <v>8</v>
      </c>
      <c r="F177" s="20">
        <f>0.8*2.1</f>
        <v>1.6800000000000002</v>
      </c>
      <c r="G177" s="13">
        <v>22.57</v>
      </c>
      <c r="H177" s="13">
        <f t="shared" si="59"/>
        <v>27.641479</v>
      </c>
      <c r="I177" s="13">
        <f t="shared" si="60"/>
        <v>46.437684720000007</v>
      </c>
      <c r="J177" s="33"/>
      <c r="K177" s="34"/>
      <c r="L177" s="34"/>
      <c r="M177" s="32"/>
      <c r="N177" s="32"/>
    </row>
    <row r="178" spans="1:14" ht="60" x14ac:dyDescent="0.25">
      <c r="A178" s="164">
        <v>159</v>
      </c>
      <c r="B178" s="207"/>
      <c r="C178" s="160" t="s">
        <v>74</v>
      </c>
      <c r="D178" s="163" t="s">
        <v>75</v>
      </c>
      <c r="E178" s="112" t="s">
        <v>8</v>
      </c>
      <c r="F178" s="20">
        <v>12.9</v>
      </c>
      <c r="G178" s="13">
        <v>14.14</v>
      </c>
      <c r="H178" s="13">
        <f t="shared" si="59"/>
        <v>17.317258000000002</v>
      </c>
      <c r="I178" s="13">
        <f t="shared" si="60"/>
        <v>223.39262820000005</v>
      </c>
      <c r="J178" s="33"/>
      <c r="K178" s="34"/>
      <c r="L178" s="34"/>
      <c r="M178" s="32"/>
      <c r="N178" s="32"/>
    </row>
    <row r="179" spans="1:14" ht="60" x14ac:dyDescent="0.25">
      <c r="A179" s="164">
        <v>160</v>
      </c>
      <c r="B179" s="207"/>
      <c r="C179" s="113" t="s">
        <v>76</v>
      </c>
      <c r="D179" s="42" t="s">
        <v>77</v>
      </c>
      <c r="E179" s="112" t="s">
        <v>8</v>
      </c>
      <c r="F179" s="20">
        <v>12.9</v>
      </c>
      <c r="G179" s="13">
        <v>5.28</v>
      </c>
      <c r="H179" s="13">
        <f t="shared" si="59"/>
        <v>6.4664160000000006</v>
      </c>
      <c r="I179" s="13">
        <f t="shared" si="60"/>
        <v>83.416766400000014</v>
      </c>
      <c r="J179" s="33"/>
      <c r="K179" s="34"/>
      <c r="L179" s="34"/>
      <c r="M179" s="32"/>
      <c r="N179" s="32"/>
    </row>
    <row r="180" spans="1:14" ht="45" x14ac:dyDescent="0.25">
      <c r="A180" s="164">
        <v>161</v>
      </c>
      <c r="B180" s="207" t="s">
        <v>116</v>
      </c>
      <c r="C180" s="12" t="s">
        <v>68</v>
      </c>
      <c r="D180" s="25" t="s">
        <v>69</v>
      </c>
      <c r="E180" s="112" t="s">
        <v>8</v>
      </c>
      <c r="F180" s="20">
        <f>28.86*3.9-F182</f>
        <v>103.374</v>
      </c>
      <c r="G180" s="13">
        <v>8.64</v>
      </c>
      <c r="H180" s="13">
        <f t="shared" si="59"/>
        <v>10.581408000000001</v>
      </c>
      <c r="I180" s="13">
        <f t="shared" si="60"/>
        <v>1093.8424705920002</v>
      </c>
      <c r="J180" s="33"/>
      <c r="K180" s="34"/>
      <c r="L180" s="34"/>
      <c r="M180" s="32"/>
      <c r="N180" s="32"/>
    </row>
    <row r="181" spans="1:14" ht="60" x14ac:dyDescent="0.25">
      <c r="A181" s="164">
        <v>162</v>
      </c>
      <c r="B181" s="207"/>
      <c r="C181" s="12" t="s">
        <v>70</v>
      </c>
      <c r="D181" s="25" t="s">
        <v>71</v>
      </c>
      <c r="E181" s="112" t="s">
        <v>8</v>
      </c>
      <c r="F181" s="20">
        <f>F180</f>
        <v>103.374</v>
      </c>
      <c r="G181" s="13">
        <v>4.21</v>
      </c>
      <c r="H181" s="13">
        <f t="shared" si="59"/>
        <v>5.1559869999999997</v>
      </c>
      <c r="I181" s="13">
        <f t="shared" si="60"/>
        <v>532.99500013799991</v>
      </c>
      <c r="J181" s="33"/>
      <c r="K181" s="34"/>
      <c r="L181" s="34"/>
      <c r="M181" s="32"/>
      <c r="N181" s="32"/>
    </row>
    <row r="182" spans="1:14" ht="60" x14ac:dyDescent="0.25">
      <c r="A182" s="164">
        <v>163</v>
      </c>
      <c r="B182" s="207"/>
      <c r="C182" s="12" t="s">
        <v>72</v>
      </c>
      <c r="D182" s="163" t="s">
        <v>177</v>
      </c>
      <c r="E182" s="112" t="s">
        <v>8</v>
      </c>
      <c r="F182" s="20">
        <f>2.5*1.5*2+0.8*2.1</f>
        <v>9.18</v>
      </c>
      <c r="G182" s="13">
        <v>22.57</v>
      </c>
      <c r="H182" s="13">
        <f t="shared" si="59"/>
        <v>27.641479</v>
      </c>
      <c r="I182" s="13">
        <f t="shared" si="60"/>
        <v>253.74877721999999</v>
      </c>
      <c r="J182" s="33"/>
      <c r="K182" s="34"/>
      <c r="L182" s="34"/>
      <c r="M182" s="32"/>
      <c r="N182" s="32"/>
    </row>
    <row r="183" spans="1:14" ht="60" x14ac:dyDescent="0.25">
      <c r="A183" s="164">
        <v>164</v>
      </c>
      <c r="B183" s="207"/>
      <c r="C183" s="160" t="s">
        <v>74</v>
      </c>
      <c r="D183" s="163" t="s">
        <v>75</v>
      </c>
      <c r="E183" s="112" t="s">
        <v>8</v>
      </c>
      <c r="F183" s="20">
        <v>51.39</v>
      </c>
      <c r="G183" s="13">
        <v>14.14</v>
      </c>
      <c r="H183" s="13">
        <f t="shared" si="59"/>
        <v>17.317258000000002</v>
      </c>
      <c r="I183" s="13">
        <f t="shared" si="60"/>
        <v>889.93388862000018</v>
      </c>
      <c r="J183" s="33"/>
      <c r="K183" s="34"/>
      <c r="L183" s="34"/>
      <c r="M183" s="32"/>
      <c r="N183" s="32"/>
    </row>
    <row r="184" spans="1:14" ht="60" x14ac:dyDescent="0.25">
      <c r="A184" s="164">
        <v>165</v>
      </c>
      <c r="B184" s="207"/>
      <c r="C184" s="113" t="s">
        <v>76</v>
      </c>
      <c r="D184" s="42" t="s">
        <v>77</v>
      </c>
      <c r="E184" s="112" t="s">
        <v>8</v>
      </c>
      <c r="F184" s="20">
        <v>51.39</v>
      </c>
      <c r="G184" s="13">
        <v>5.28</v>
      </c>
      <c r="H184" s="13">
        <f t="shared" si="59"/>
        <v>6.4664160000000006</v>
      </c>
      <c r="I184" s="13">
        <f t="shared" si="60"/>
        <v>332.30911824000003</v>
      </c>
      <c r="J184" s="33"/>
      <c r="K184" s="34"/>
      <c r="L184" s="34"/>
      <c r="M184" s="32"/>
      <c r="N184" s="32"/>
    </row>
    <row r="185" spans="1:14" ht="45" x14ac:dyDescent="0.25">
      <c r="A185" s="164">
        <v>166</v>
      </c>
      <c r="B185" s="207" t="s">
        <v>179</v>
      </c>
      <c r="C185" s="12" t="s">
        <v>68</v>
      </c>
      <c r="D185" s="25" t="s">
        <v>69</v>
      </c>
      <c r="E185" s="112" t="s">
        <v>8</v>
      </c>
      <c r="F185" s="20">
        <f>14.6*3-F187</f>
        <v>39.199999999999996</v>
      </c>
      <c r="G185" s="13">
        <v>8.64</v>
      </c>
      <c r="H185" s="13">
        <f t="shared" si="59"/>
        <v>10.581408000000001</v>
      </c>
      <c r="I185" s="13">
        <f t="shared" si="60"/>
        <v>414.79119359999999</v>
      </c>
      <c r="J185" s="33"/>
      <c r="K185" s="34"/>
      <c r="L185" s="34"/>
      <c r="M185" s="32"/>
      <c r="N185" s="32"/>
    </row>
    <row r="186" spans="1:14" ht="60" x14ac:dyDescent="0.25">
      <c r="A186" s="164">
        <v>167</v>
      </c>
      <c r="B186" s="207"/>
      <c r="C186" s="12" t="s">
        <v>70</v>
      </c>
      <c r="D186" s="25" t="s">
        <v>71</v>
      </c>
      <c r="E186" s="112" t="s">
        <v>8</v>
      </c>
      <c r="F186" s="20">
        <f>F185</f>
        <v>39.199999999999996</v>
      </c>
      <c r="G186" s="13">
        <v>4.21</v>
      </c>
      <c r="H186" s="13">
        <f t="shared" si="59"/>
        <v>5.1559869999999997</v>
      </c>
      <c r="I186" s="13">
        <f t="shared" si="60"/>
        <v>202.11469039999997</v>
      </c>
      <c r="J186" s="33"/>
      <c r="K186" s="34"/>
      <c r="L186" s="34"/>
      <c r="M186" s="32"/>
      <c r="N186" s="32"/>
    </row>
    <row r="187" spans="1:14" ht="60" x14ac:dyDescent="0.25">
      <c r="A187" s="164">
        <v>168</v>
      </c>
      <c r="B187" s="207"/>
      <c r="C187" s="12" t="s">
        <v>72</v>
      </c>
      <c r="D187" s="163" t="s">
        <v>177</v>
      </c>
      <c r="E187" s="112" t="s">
        <v>8</v>
      </c>
      <c r="F187" s="20">
        <f>1*1+1.6*1.2+0.8*2.1</f>
        <v>4.5999999999999996</v>
      </c>
      <c r="G187" s="13">
        <v>22.57</v>
      </c>
      <c r="H187" s="13">
        <f t="shared" si="59"/>
        <v>27.641479</v>
      </c>
      <c r="I187" s="13">
        <f t="shared" si="60"/>
        <v>127.15080339999999</v>
      </c>
      <c r="J187" s="33"/>
      <c r="K187" s="34"/>
      <c r="L187" s="34"/>
      <c r="M187" s="32"/>
      <c r="N187" s="32"/>
    </row>
    <row r="188" spans="1:14" ht="60" x14ac:dyDescent="0.25">
      <c r="A188" s="164">
        <v>169</v>
      </c>
      <c r="B188" s="207"/>
      <c r="C188" s="160" t="s">
        <v>74</v>
      </c>
      <c r="D188" s="163" t="s">
        <v>75</v>
      </c>
      <c r="E188" s="112" t="s">
        <v>8</v>
      </c>
      <c r="F188" s="20">
        <v>13.07</v>
      </c>
      <c r="G188" s="13">
        <v>14.14</v>
      </c>
      <c r="H188" s="13">
        <f t="shared" si="59"/>
        <v>17.317258000000002</v>
      </c>
      <c r="I188" s="13">
        <f t="shared" si="60"/>
        <v>226.33656206000003</v>
      </c>
      <c r="J188" s="33"/>
      <c r="K188" s="34"/>
      <c r="L188" s="34"/>
      <c r="M188" s="32"/>
      <c r="N188" s="32"/>
    </row>
    <row r="189" spans="1:14" ht="60" x14ac:dyDescent="0.25">
      <c r="A189" s="164">
        <v>170</v>
      </c>
      <c r="B189" s="207"/>
      <c r="C189" s="113" t="s">
        <v>76</v>
      </c>
      <c r="D189" s="42" t="s">
        <v>77</v>
      </c>
      <c r="E189" s="112" t="s">
        <v>8</v>
      </c>
      <c r="F189" s="20">
        <v>13.07</v>
      </c>
      <c r="G189" s="13">
        <v>5.28</v>
      </c>
      <c r="H189" s="13">
        <f t="shared" si="59"/>
        <v>6.4664160000000006</v>
      </c>
      <c r="I189" s="13">
        <f t="shared" si="60"/>
        <v>84.516057120000013</v>
      </c>
      <c r="J189" s="33"/>
      <c r="K189" s="34"/>
      <c r="L189" s="34"/>
      <c r="M189" s="32"/>
      <c r="N189" s="32"/>
    </row>
    <row r="190" spans="1:14" ht="45" x14ac:dyDescent="0.25">
      <c r="A190" s="164">
        <v>171</v>
      </c>
      <c r="B190" s="207" t="s">
        <v>180</v>
      </c>
      <c r="C190" s="12" t="s">
        <v>68</v>
      </c>
      <c r="D190" s="25" t="s">
        <v>69</v>
      </c>
      <c r="E190" s="112" t="s">
        <v>8</v>
      </c>
      <c r="F190" s="20">
        <f>8.99*2.2-F192</f>
        <v>17.658000000000001</v>
      </c>
      <c r="G190" s="13">
        <v>8.64</v>
      </c>
      <c r="H190" s="13">
        <f t="shared" si="59"/>
        <v>10.581408000000001</v>
      </c>
      <c r="I190" s="13">
        <f t="shared" si="60"/>
        <v>186.84650246400003</v>
      </c>
      <c r="J190" s="33"/>
      <c r="K190" s="34"/>
      <c r="L190" s="34"/>
      <c r="M190" s="32"/>
      <c r="N190" s="32"/>
    </row>
    <row r="191" spans="1:14" ht="60" x14ac:dyDescent="0.25">
      <c r="A191" s="164">
        <v>172</v>
      </c>
      <c r="B191" s="207"/>
      <c r="C191" s="12" t="s">
        <v>70</v>
      </c>
      <c r="D191" s="25" t="s">
        <v>71</v>
      </c>
      <c r="E191" s="112" t="s">
        <v>8</v>
      </c>
      <c r="F191" s="20">
        <f>F190</f>
        <v>17.658000000000001</v>
      </c>
      <c r="G191" s="13">
        <v>4.21</v>
      </c>
      <c r="H191" s="13">
        <f t="shared" si="59"/>
        <v>5.1559869999999997</v>
      </c>
      <c r="I191" s="13">
        <f t="shared" si="60"/>
        <v>91.044418445999995</v>
      </c>
      <c r="J191" s="33"/>
      <c r="K191" s="34"/>
      <c r="L191" s="34"/>
      <c r="M191" s="32"/>
      <c r="N191" s="32"/>
    </row>
    <row r="192" spans="1:14" ht="60" x14ac:dyDescent="0.25">
      <c r="A192" s="164">
        <v>173</v>
      </c>
      <c r="B192" s="207"/>
      <c r="C192" s="12" t="s">
        <v>72</v>
      </c>
      <c r="D192" s="163" t="s">
        <v>177</v>
      </c>
      <c r="E192" s="112" t="s">
        <v>8</v>
      </c>
      <c r="F192" s="20">
        <f>0.7*2.1+0.5*1.3</f>
        <v>2.12</v>
      </c>
      <c r="G192" s="13">
        <v>22.57</v>
      </c>
      <c r="H192" s="13">
        <f t="shared" ref="H192:H223" si="61">G192+G192*B$18</f>
        <v>27.641479</v>
      </c>
      <c r="I192" s="13">
        <f t="shared" ref="I192:I223" si="62">H192*F192</f>
        <v>58.599935480000006</v>
      </c>
      <c r="J192" s="33"/>
      <c r="K192" s="34"/>
      <c r="L192" s="34"/>
      <c r="M192" s="32"/>
      <c r="N192" s="32"/>
    </row>
    <row r="193" spans="1:14" ht="60" x14ac:dyDescent="0.25">
      <c r="A193" s="164">
        <v>174</v>
      </c>
      <c r="B193" s="207"/>
      <c r="C193" s="160" t="s">
        <v>74</v>
      </c>
      <c r="D193" s="163" t="s">
        <v>75</v>
      </c>
      <c r="E193" s="112" t="s">
        <v>8</v>
      </c>
      <c r="F193" s="20">
        <v>4.24</v>
      </c>
      <c r="G193" s="13">
        <v>14.14</v>
      </c>
      <c r="H193" s="13">
        <f t="shared" si="61"/>
        <v>17.317258000000002</v>
      </c>
      <c r="I193" s="13">
        <f t="shared" si="62"/>
        <v>73.42517392000002</v>
      </c>
      <c r="J193" s="33"/>
      <c r="K193" s="34"/>
      <c r="L193" s="34"/>
      <c r="M193" s="32"/>
      <c r="N193" s="32"/>
    </row>
    <row r="194" spans="1:14" ht="60" x14ac:dyDescent="0.25">
      <c r="A194" s="164">
        <v>175</v>
      </c>
      <c r="B194" s="207"/>
      <c r="C194" s="113" t="s">
        <v>76</v>
      </c>
      <c r="D194" s="42" t="s">
        <v>77</v>
      </c>
      <c r="E194" s="112" t="s">
        <v>8</v>
      </c>
      <c r="F194" s="20">
        <v>4.24</v>
      </c>
      <c r="G194" s="13">
        <v>5.28</v>
      </c>
      <c r="H194" s="13">
        <f t="shared" si="61"/>
        <v>6.4664160000000006</v>
      </c>
      <c r="I194" s="13">
        <f t="shared" si="62"/>
        <v>27.417603840000005</v>
      </c>
      <c r="J194" s="33"/>
      <c r="K194" s="34"/>
      <c r="L194" s="34"/>
      <c r="M194" s="32"/>
      <c r="N194" s="32"/>
    </row>
    <row r="195" spans="1:14" ht="45" x14ac:dyDescent="0.25">
      <c r="A195" s="164">
        <v>176</v>
      </c>
      <c r="B195" s="207" t="s">
        <v>181</v>
      </c>
      <c r="C195" s="12" t="s">
        <v>68</v>
      </c>
      <c r="D195" s="25" t="s">
        <v>69</v>
      </c>
      <c r="E195" s="112" t="s">
        <v>8</v>
      </c>
      <c r="F195" s="20">
        <f>6.59*2.2-F197</f>
        <v>13.028</v>
      </c>
      <c r="G195" s="13">
        <v>8.64</v>
      </c>
      <c r="H195" s="13">
        <f t="shared" si="61"/>
        <v>10.581408000000001</v>
      </c>
      <c r="I195" s="13">
        <f t="shared" si="62"/>
        <v>137.85458342400003</v>
      </c>
      <c r="J195" s="33"/>
      <c r="K195" s="34"/>
      <c r="L195" s="34"/>
      <c r="M195" s="32"/>
      <c r="N195" s="32"/>
    </row>
    <row r="196" spans="1:14" ht="60" x14ac:dyDescent="0.25">
      <c r="A196" s="164">
        <v>177</v>
      </c>
      <c r="B196" s="207"/>
      <c r="C196" s="12" t="s">
        <v>70</v>
      </c>
      <c r="D196" s="25" t="s">
        <v>71</v>
      </c>
      <c r="E196" s="112" t="s">
        <v>8</v>
      </c>
      <c r="F196" s="20">
        <f>F195</f>
        <v>13.028</v>
      </c>
      <c r="G196" s="13">
        <v>4.21</v>
      </c>
      <c r="H196" s="13">
        <f t="shared" si="61"/>
        <v>5.1559869999999997</v>
      </c>
      <c r="I196" s="13">
        <f t="shared" si="62"/>
        <v>67.172198636000005</v>
      </c>
      <c r="J196" s="33"/>
      <c r="K196" s="34"/>
      <c r="L196" s="34"/>
      <c r="M196" s="32"/>
      <c r="N196" s="32"/>
    </row>
    <row r="197" spans="1:14" ht="60" x14ac:dyDescent="0.25">
      <c r="A197" s="164">
        <v>178</v>
      </c>
      <c r="B197" s="207"/>
      <c r="C197" s="12" t="s">
        <v>72</v>
      </c>
      <c r="D197" s="163" t="s">
        <v>177</v>
      </c>
      <c r="E197" s="112" t="s">
        <v>8</v>
      </c>
      <c r="F197" s="20">
        <f>0.7*2.1</f>
        <v>1.47</v>
      </c>
      <c r="G197" s="13">
        <v>22.57</v>
      </c>
      <c r="H197" s="13">
        <f t="shared" si="61"/>
        <v>27.641479</v>
      </c>
      <c r="I197" s="13">
        <f t="shared" si="62"/>
        <v>40.632974130000001</v>
      </c>
      <c r="J197" s="33"/>
      <c r="K197" s="34"/>
      <c r="L197" s="34"/>
      <c r="M197" s="32"/>
      <c r="N197" s="32"/>
    </row>
    <row r="198" spans="1:14" ht="60" x14ac:dyDescent="0.25">
      <c r="A198" s="164">
        <v>179</v>
      </c>
      <c r="B198" s="207"/>
      <c r="C198" s="160" t="s">
        <v>74</v>
      </c>
      <c r="D198" s="163" t="s">
        <v>75</v>
      </c>
      <c r="E198" s="112" t="s">
        <v>8</v>
      </c>
      <c r="F198" s="20">
        <v>2.7</v>
      </c>
      <c r="G198" s="13">
        <v>14.14</v>
      </c>
      <c r="H198" s="13">
        <f t="shared" si="61"/>
        <v>17.317258000000002</v>
      </c>
      <c r="I198" s="13">
        <f t="shared" si="62"/>
        <v>46.756596600000009</v>
      </c>
      <c r="J198" s="33"/>
      <c r="K198" s="34"/>
      <c r="L198" s="34"/>
      <c r="M198" s="32"/>
      <c r="N198" s="32"/>
    </row>
    <row r="199" spans="1:14" ht="60" x14ac:dyDescent="0.25">
      <c r="A199" s="164">
        <v>180</v>
      </c>
      <c r="B199" s="207"/>
      <c r="C199" s="113" t="s">
        <v>76</v>
      </c>
      <c r="D199" s="42" t="s">
        <v>77</v>
      </c>
      <c r="E199" s="112" t="s">
        <v>8</v>
      </c>
      <c r="F199" s="20">
        <v>2.7</v>
      </c>
      <c r="G199" s="13">
        <v>5.28</v>
      </c>
      <c r="H199" s="13">
        <f t="shared" si="61"/>
        <v>6.4664160000000006</v>
      </c>
      <c r="I199" s="13">
        <f t="shared" si="62"/>
        <v>17.459323200000004</v>
      </c>
      <c r="J199" s="33"/>
      <c r="K199" s="34"/>
      <c r="L199" s="34"/>
      <c r="M199" s="32"/>
      <c r="N199" s="32"/>
    </row>
    <row r="200" spans="1:14" ht="60" x14ac:dyDescent="0.25">
      <c r="A200" s="164">
        <v>181</v>
      </c>
      <c r="B200" s="207" t="s">
        <v>182</v>
      </c>
      <c r="C200" s="12" t="s">
        <v>72</v>
      </c>
      <c r="D200" s="163" t="s">
        <v>177</v>
      </c>
      <c r="E200" s="112" t="s">
        <v>8</v>
      </c>
      <c r="F200" s="20">
        <f>0.8*2.1+1.8*0.3</f>
        <v>2.2200000000000002</v>
      </c>
      <c r="G200" s="13">
        <v>22.57</v>
      </c>
      <c r="H200" s="13">
        <f t="shared" si="61"/>
        <v>27.641479</v>
      </c>
      <c r="I200" s="13">
        <f t="shared" si="62"/>
        <v>61.364083380000004</v>
      </c>
      <c r="J200" s="33"/>
      <c r="K200" s="34"/>
      <c r="L200" s="34"/>
      <c r="M200" s="32"/>
      <c r="N200" s="32"/>
    </row>
    <row r="201" spans="1:14" ht="60" x14ac:dyDescent="0.25">
      <c r="A201" s="164">
        <v>182</v>
      </c>
      <c r="B201" s="207"/>
      <c r="C201" s="160" t="s">
        <v>74</v>
      </c>
      <c r="D201" s="163" t="s">
        <v>75</v>
      </c>
      <c r="E201" s="112" t="s">
        <v>8</v>
      </c>
      <c r="F201" s="20">
        <v>2.5499999999999998</v>
      </c>
      <c r="G201" s="13">
        <v>14.14</v>
      </c>
      <c r="H201" s="13">
        <f t="shared" si="61"/>
        <v>17.317258000000002</v>
      </c>
      <c r="I201" s="13">
        <f t="shared" si="62"/>
        <v>44.159007900000006</v>
      </c>
      <c r="J201" s="33"/>
      <c r="K201" s="34"/>
      <c r="L201" s="34"/>
      <c r="M201" s="32"/>
      <c r="N201" s="32"/>
    </row>
    <row r="202" spans="1:14" ht="60" x14ac:dyDescent="0.25">
      <c r="A202" s="164">
        <v>183</v>
      </c>
      <c r="B202" s="207"/>
      <c r="C202" s="113" t="s">
        <v>76</v>
      </c>
      <c r="D202" s="42" t="s">
        <v>77</v>
      </c>
      <c r="E202" s="112" t="s">
        <v>8</v>
      </c>
      <c r="F202" s="20">
        <v>2.5499999999999998</v>
      </c>
      <c r="G202" s="13">
        <v>5.28</v>
      </c>
      <c r="H202" s="13">
        <f t="shared" si="61"/>
        <v>6.4664160000000006</v>
      </c>
      <c r="I202" s="13">
        <f t="shared" si="62"/>
        <v>16.4893608</v>
      </c>
      <c r="J202" s="33"/>
      <c r="K202" s="34"/>
      <c r="L202" s="34"/>
      <c r="M202" s="32"/>
      <c r="N202" s="32"/>
    </row>
    <row r="203" spans="1:14" ht="45" x14ac:dyDescent="0.25">
      <c r="A203" s="164">
        <v>184</v>
      </c>
      <c r="B203" s="207" t="s">
        <v>183</v>
      </c>
      <c r="C203" s="12" t="s">
        <v>68</v>
      </c>
      <c r="D203" s="25" t="s">
        <v>69</v>
      </c>
      <c r="E203" s="112" t="s">
        <v>8</v>
      </c>
      <c r="F203" s="20">
        <f>12.12*3.5-F205</f>
        <v>31.739999999999995</v>
      </c>
      <c r="G203" s="13">
        <v>8.64</v>
      </c>
      <c r="H203" s="13">
        <f t="shared" si="61"/>
        <v>10.581408000000001</v>
      </c>
      <c r="I203" s="13">
        <f t="shared" si="62"/>
        <v>335.85388991999997</v>
      </c>
      <c r="J203" s="33"/>
      <c r="K203" s="34"/>
      <c r="L203" s="34"/>
      <c r="M203" s="32"/>
      <c r="N203" s="32"/>
    </row>
    <row r="204" spans="1:14" ht="60" x14ac:dyDescent="0.25">
      <c r="A204" s="164">
        <v>185</v>
      </c>
      <c r="B204" s="207"/>
      <c r="C204" s="12" t="s">
        <v>70</v>
      </c>
      <c r="D204" s="25" t="s">
        <v>71</v>
      </c>
      <c r="E204" s="112" t="s">
        <v>8</v>
      </c>
      <c r="F204" s="20">
        <f>F203</f>
        <v>31.739999999999995</v>
      </c>
      <c r="G204" s="13">
        <v>4.21</v>
      </c>
      <c r="H204" s="13">
        <f t="shared" si="61"/>
        <v>5.1559869999999997</v>
      </c>
      <c r="I204" s="13">
        <f t="shared" si="62"/>
        <v>163.65102737999996</v>
      </c>
      <c r="J204" s="33"/>
      <c r="K204" s="34"/>
      <c r="L204" s="34"/>
      <c r="M204" s="32"/>
      <c r="N204" s="32"/>
    </row>
    <row r="205" spans="1:14" ht="60" x14ac:dyDescent="0.25">
      <c r="A205" s="164">
        <v>186</v>
      </c>
      <c r="B205" s="207"/>
      <c r="C205" s="12" t="s">
        <v>72</v>
      </c>
      <c r="D205" s="163" t="s">
        <v>177</v>
      </c>
      <c r="E205" s="112" t="s">
        <v>8</v>
      </c>
      <c r="F205" s="20">
        <f>2*3*1.5+0.8*2.1</f>
        <v>10.68</v>
      </c>
      <c r="G205" s="13">
        <v>22.57</v>
      </c>
      <c r="H205" s="13">
        <f t="shared" si="61"/>
        <v>27.641479</v>
      </c>
      <c r="I205" s="13">
        <f t="shared" si="62"/>
        <v>295.21099571999997</v>
      </c>
      <c r="J205" s="33"/>
      <c r="K205" s="34"/>
      <c r="L205" s="34"/>
      <c r="M205" s="32"/>
      <c r="N205" s="32"/>
    </row>
    <row r="206" spans="1:14" ht="60" x14ac:dyDescent="0.25">
      <c r="A206" s="164">
        <v>187</v>
      </c>
      <c r="B206" s="207"/>
      <c r="C206" s="160" t="s">
        <v>74</v>
      </c>
      <c r="D206" s="163" t="s">
        <v>75</v>
      </c>
      <c r="E206" s="112" t="s">
        <v>8</v>
      </c>
      <c r="F206" s="20">
        <v>9.18</v>
      </c>
      <c r="G206" s="13">
        <v>14.14</v>
      </c>
      <c r="H206" s="13">
        <f t="shared" si="61"/>
        <v>17.317258000000002</v>
      </c>
      <c r="I206" s="13">
        <f t="shared" si="62"/>
        <v>158.97242844000002</v>
      </c>
      <c r="J206" s="33"/>
      <c r="K206" s="34"/>
      <c r="L206" s="34"/>
      <c r="M206" s="32"/>
      <c r="N206" s="32"/>
    </row>
    <row r="207" spans="1:14" ht="60" x14ac:dyDescent="0.25">
      <c r="A207" s="164">
        <v>188</v>
      </c>
      <c r="B207" s="207"/>
      <c r="C207" s="113" t="s">
        <v>76</v>
      </c>
      <c r="D207" s="42" t="s">
        <v>77</v>
      </c>
      <c r="E207" s="112" t="s">
        <v>8</v>
      </c>
      <c r="F207" s="20">
        <v>9.18</v>
      </c>
      <c r="G207" s="13">
        <v>5.28</v>
      </c>
      <c r="H207" s="13">
        <f t="shared" si="61"/>
        <v>6.4664160000000006</v>
      </c>
      <c r="I207" s="13">
        <f t="shared" si="62"/>
        <v>59.361698880000006</v>
      </c>
      <c r="J207" s="33"/>
      <c r="K207" s="34"/>
      <c r="L207" s="34"/>
      <c r="M207" s="32"/>
      <c r="N207" s="32"/>
    </row>
    <row r="208" spans="1:14" ht="60" x14ac:dyDescent="0.25">
      <c r="A208" s="164">
        <v>189</v>
      </c>
      <c r="B208" s="207" t="s">
        <v>123</v>
      </c>
      <c r="C208" s="12" t="s">
        <v>72</v>
      </c>
      <c r="D208" s="163" t="s">
        <v>177</v>
      </c>
      <c r="E208" s="112" t="s">
        <v>8</v>
      </c>
      <c r="F208" s="20">
        <f>3.15+0.8*2.1*2</f>
        <v>6.51</v>
      </c>
      <c r="G208" s="13">
        <v>22.57</v>
      </c>
      <c r="H208" s="13">
        <f t="shared" si="61"/>
        <v>27.641479</v>
      </c>
      <c r="I208" s="13">
        <f t="shared" si="62"/>
        <v>179.94602828999999</v>
      </c>
      <c r="J208" s="33"/>
      <c r="K208" s="34"/>
      <c r="L208" s="34"/>
      <c r="M208" s="32"/>
      <c r="N208" s="32"/>
    </row>
    <row r="209" spans="1:14" ht="60" x14ac:dyDescent="0.25">
      <c r="A209" s="164">
        <v>190</v>
      </c>
      <c r="B209" s="207"/>
      <c r="C209" s="160" t="s">
        <v>74</v>
      </c>
      <c r="D209" s="163" t="s">
        <v>75</v>
      </c>
      <c r="E209" s="112" t="s">
        <v>8</v>
      </c>
      <c r="F209" s="20">
        <v>21.91</v>
      </c>
      <c r="G209" s="13">
        <v>14.14</v>
      </c>
      <c r="H209" s="13">
        <f t="shared" si="61"/>
        <v>17.317258000000002</v>
      </c>
      <c r="I209" s="13">
        <f t="shared" si="62"/>
        <v>379.42112278000008</v>
      </c>
      <c r="J209" s="33"/>
      <c r="K209" s="34"/>
      <c r="L209" s="34"/>
      <c r="M209" s="32"/>
      <c r="N209" s="32"/>
    </row>
    <row r="210" spans="1:14" ht="60" x14ac:dyDescent="0.25">
      <c r="A210" s="164">
        <v>191</v>
      </c>
      <c r="B210" s="207"/>
      <c r="C210" s="113" t="s">
        <v>76</v>
      </c>
      <c r="D210" s="42" t="s">
        <v>77</v>
      </c>
      <c r="E210" s="112" t="s">
        <v>8</v>
      </c>
      <c r="F210" s="20">
        <v>21.91</v>
      </c>
      <c r="G210" s="13">
        <v>5.28</v>
      </c>
      <c r="H210" s="13">
        <f t="shared" si="61"/>
        <v>6.4664160000000006</v>
      </c>
      <c r="I210" s="13">
        <f t="shared" si="62"/>
        <v>141.67917456000001</v>
      </c>
      <c r="J210" s="33"/>
      <c r="K210" s="34"/>
      <c r="L210" s="34"/>
      <c r="M210" s="32"/>
      <c r="N210" s="32"/>
    </row>
    <row r="211" spans="1:14" ht="60" x14ac:dyDescent="0.25">
      <c r="A211" s="164">
        <v>192</v>
      </c>
      <c r="B211" s="207" t="s">
        <v>164</v>
      </c>
      <c r="C211" s="12" t="s">
        <v>72</v>
      </c>
      <c r="D211" s="163" t="s">
        <v>177</v>
      </c>
      <c r="E211" s="112" t="s">
        <v>8</v>
      </c>
      <c r="F211" s="20">
        <f>1*1+0.8*2.1</f>
        <v>2.68</v>
      </c>
      <c r="G211" s="13">
        <v>22.57</v>
      </c>
      <c r="H211" s="13">
        <f t="shared" si="61"/>
        <v>27.641479</v>
      </c>
      <c r="I211" s="13">
        <f t="shared" si="62"/>
        <v>74.079163720000011</v>
      </c>
      <c r="J211" s="33"/>
      <c r="K211" s="34"/>
      <c r="L211" s="34"/>
      <c r="M211" s="32"/>
      <c r="N211" s="32"/>
    </row>
    <row r="212" spans="1:14" ht="60" x14ac:dyDescent="0.25">
      <c r="A212" s="164">
        <v>193</v>
      </c>
      <c r="B212" s="207"/>
      <c r="C212" s="160" t="s">
        <v>74</v>
      </c>
      <c r="D212" s="163" t="s">
        <v>75</v>
      </c>
      <c r="E212" s="112" t="s">
        <v>8</v>
      </c>
      <c r="F212" s="20">
        <v>7.93</v>
      </c>
      <c r="G212" s="13">
        <v>14.14</v>
      </c>
      <c r="H212" s="13">
        <f t="shared" si="61"/>
        <v>17.317258000000002</v>
      </c>
      <c r="I212" s="13">
        <f t="shared" si="62"/>
        <v>137.32585594000003</v>
      </c>
      <c r="J212" s="33"/>
      <c r="K212" s="34"/>
      <c r="L212" s="34"/>
      <c r="M212" s="32"/>
      <c r="N212" s="32"/>
    </row>
    <row r="213" spans="1:14" ht="60" x14ac:dyDescent="0.25">
      <c r="A213" s="164">
        <v>194</v>
      </c>
      <c r="B213" s="207"/>
      <c r="C213" s="113" t="s">
        <v>76</v>
      </c>
      <c r="D213" s="42" t="s">
        <v>77</v>
      </c>
      <c r="E213" s="112" t="s">
        <v>8</v>
      </c>
      <c r="F213" s="20">
        <v>7.93</v>
      </c>
      <c r="G213" s="13">
        <v>5.28</v>
      </c>
      <c r="H213" s="13">
        <f t="shared" si="61"/>
        <v>6.4664160000000006</v>
      </c>
      <c r="I213" s="13">
        <f t="shared" si="62"/>
        <v>51.278678880000001</v>
      </c>
      <c r="J213" s="33"/>
      <c r="K213" s="34"/>
      <c r="L213" s="34"/>
      <c r="M213" s="32"/>
      <c r="N213" s="32"/>
    </row>
    <row r="214" spans="1:14" ht="45" x14ac:dyDescent="0.25">
      <c r="A214" s="164">
        <v>195</v>
      </c>
      <c r="B214" s="207" t="s">
        <v>184</v>
      </c>
      <c r="C214" s="12" t="s">
        <v>68</v>
      </c>
      <c r="D214" s="25" t="s">
        <v>69</v>
      </c>
      <c r="E214" s="112" t="s">
        <v>8</v>
      </c>
      <c r="F214" s="20">
        <f>13.9*3-F216</f>
        <v>35.520000000000003</v>
      </c>
      <c r="G214" s="13">
        <v>8.64</v>
      </c>
      <c r="H214" s="13">
        <f t="shared" si="61"/>
        <v>10.581408000000001</v>
      </c>
      <c r="I214" s="13">
        <f t="shared" si="62"/>
        <v>375.85161216000006</v>
      </c>
      <c r="J214" s="33"/>
      <c r="K214" s="34"/>
      <c r="L214" s="34"/>
      <c r="M214" s="32"/>
      <c r="N214" s="32"/>
    </row>
    <row r="215" spans="1:14" ht="60" x14ac:dyDescent="0.25">
      <c r="A215" s="164">
        <v>196</v>
      </c>
      <c r="B215" s="207"/>
      <c r="C215" s="12" t="s">
        <v>70</v>
      </c>
      <c r="D215" s="25" t="s">
        <v>71</v>
      </c>
      <c r="E215" s="112" t="s">
        <v>8</v>
      </c>
      <c r="F215" s="20">
        <f>F214</f>
        <v>35.520000000000003</v>
      </c>
      <c r="G215" s="13">
        <v>4.21</v>
      </c>
      <c r="H215" s="13">
        <f t="shared" si="61"/>
        <v>5.1559869999999997</v>
      </c>
      <c r="I215" s="13">
        <f t="shared" si="62"/>
        <v>183.14065823999999</v>
      </c>
      <c r="J215" s="33"/>
      <c r="K215" s="34"/>
      <c r="L215" s="34"/>
      <c r="M215" s="32"/>
      <c r="N215" s="32"/>
    </row>
    <row r="216" spans="1:14" ht="60" x14ac:dyDescent="0.25">
      <c r="A216" s="164">
        <v>197</v>
      </c>
      <c r="B216" s="207"/>
      <c r="C216" s="12" t="s">
        <v>72</v>
      </c>
      <c r="D216" s="163" t="s">
        <v>177</v>
      </c>
      <c r="E216" s="112" t="s">
        <v>8</v>
      </c>
      <c r="F216" s="20">
        <f>3*1.5+0.8*2.1</f>
        <v>6.18</v>
      </c>
      <c r="G216" s="13">
        <v>22.57</v>
      </c>
      <c r="H216" s="13">
        <f t="shared" si="61"/>
        <v>27.641479</v>
      </c>
      <c r="I216" s="13">
        <f t="shared" si="62"/>
        <v>170.82434021999998</v>
      </c>
      <c r="J216" s="33"/>
      <c r="K216" s="34"/>
      <c r="L216" s="34"/>
      <c r="M216" s="32"/>
      <c r="N216" s="32"/>
    </row>
    <row r="217" spans="1:14" ht="60" x14ac:dyDescent="0.25">
      <c r="A217" s="164">
        <v>198</v>
      </c>
      <c r="B217" s="207"/>
      <c r="C217" s="160" t="s">
        <v>74</v>
      </c>
      <c r="D217" s="163" t="s">
        <v>75</v>
      </c>
      <c r="E217" s="112" t="s">
        <v>8</v>
      </c>
      <c r="F217" s="20">
        <v>11.97</v>
      </c>
      <c r="G217" s="13">
        <v>14.14</v>
      </c>
      <c r="H217" s="13">
        <f t="shared" si="61"/>
        <v>17.317258000000002</v>
      </c>
      <c r="I217" s="13">
        <f t="shared" si="62"/>
        <v>207.28757826000003</v>
      </c>
      <c r="J217" s="33"/>
      <c r="K217" s="34"/>
      <c r="L217" s="34"/>
      <c r="M217" s="32"/>
      <c r="N217" s="32"/>
    </row>
    <row r="218" spans="1:14" ht="60" x14ac:dyDescent="0.25">
      <c r="A218" s="164">
        <v>199</v>
      </c>
      <c r="B218" s="207"/>
      <c r="C218" s="113" t="s">
        <v>76</v>
      </c>
      <c r="D218" s="42" t="s">
        <v>77</v>
      </c>
      <c r="E218" s="112" t="s">
        <v>8</v>
      </c>
      <c r="F218" s="20">
        <v>11.97</v>
      </c>
      <c r="G218" s="13">
        <v>5.28</v>
      </c>
      <c r="H218" s="13">
        <f t="shared" si="61"/>
        <v>6.4664160000000006</v>
      </c>
      <c r="I218" s="13">
        <f t="shared" si="62"/>
        <v>77.402999520000009</v>
      </c>
      <c r="J218" s="33"/>
      <c r="K218" s="34"/>
      <c r="L218" s="34"/>
      <c r="M218" s="32"/>
      <c r="N218" s="32"/>
    </row>
    <row r="219" spans="1:14" ht="45" x14ac:dyDescent="0.25">
      <c r="A219" s="164">
        <v>200</v>
      </c>
      <c r="B219" s="207" t="s">
        <v>185</v>
      </c>
      <c r="C219" s="12" t="s">
        <v>68</v>
      </c>
      <c r="D219" s="25" t="s">
        <v>69</v>
      </c>
      <c r="E219" s="112" t="s">
        <v>8</v>
      </c>
      <c r="F219" s="20">
        <f>17.28*2.8-F221</f>
        <v>45.204000000000001</v>
      </c>
      <c r="G219" s="13">
        <v>8.64</v>
      </c>
      <c r="H219" s="13">
        <f t="shared" si="61"/>
        <v>10.581408000000001</v>
      </c>
      <c r="I219" s="13">
        <f t="shared" si="62"/>
        <v>478.32196723200008</v>
      </c>
      <c r="J219" s="33"/>
      <c r="K219" s="34"/>
      <c r="L219" s="34"/>
      <c r="M219" s="32"/>
      <c r="N219" s="32"/>
    </row>
    <row r="220" spans="1:14" ht="60" x14ac:dyDescent="0.25">
      <c r="A220" s="164">
        <v>201</v>
      </c>
      <c r="B220" s="207"/>
      <c r="C220" s="12" t="s">
        <v>70</v>
      </c>
      <c r="D220" s="25" t="s">
        <v>71</v>
      </c>
      <c r="E220" s="112" t="s">
        <v>8</v>
      </c>
      <c r="F220" s="20">
        <f>F219</f>
        <v>45.204000000000001</v>
      </c>
      <c r="G220" s="13">
        <v>4.21</v>
      </c>
      <c r="H220" s="13">
        <f t="shared" si="61"/>
        <v>5.1559869999999997</v>
      </c>
      <c r="I220" s="13">
        <f t="shared" si="62"/>
        <v>233.07123634799999</v>
      </c>
      <c r="J220" s="33"/>
      <c r="K220" s="34"/>
      <c r="L220" s="34"/>
      <c r="M220" s="32"/>
      <c r="N220" s="32"/>
    </row>
    <row r="221" spans="1:14" ht="60" x14ac:dyDescent="0.25">
      <c r="A221" s="164">
        <v>202</v>
      </c>
      <c r="B221" s="207"/>
      <c r="C221" s="12" t="s">
        <v>72</v>
      </c>
      <c r="D221" s="163" t="s">
        <v>177</v>
      </c>
      <c r="E221" s="112" t="s">
        <v>8</v>
      </c>
      <c r="F221" s="20">
        <f>1.5*1+0.8*2.1</f>
        <v>3.18</v>
      </c>
      <c r="G221" s="13">
        <v>22.57</v>
      </c>
      <c r="H221" s="13">
        <f t="shared" si="61"/>
        <v>27.641479</v>
      </c>
      <c r="I221" s="13">
        <f t="shared" si="62"/>
        <v>87.899903219999999</v>
      </c>
      <c r="J221" s="33"/>
      <c r="K221" s="34"/>
      <c r="L221" s="34"/>
      <c r="M221" s="32"/>
      <c r="N221" s="32"/>
    </row>
    <row r="222" spans="1:14" ht="60" x14ac:dyDescent="0.25">
      <c r="A222" s="164">
        <v>203</v>
      </c>
      <c r="B222" s="207"/>
      <c r="C222" s="160" t="s">
        <v>74</v>
      </c>
      <c r="D222" s="163" t="s">
        <v>75</v>
      </c>
      <c r="E222" s="112" t="s">
        <v>8</v>
      </c>
      <c r="F222" s="20">
        <v>12.6</v>
      </c>
      <c r="G222" s="13">
        <v>14.14</v>
      </c>
      <c r="H222" s="13">
        <f t="shared" si="61"/>
        <v>17.317258000000002</v>
      </c>
      <c r="I222" s="13">
        <f t="shared" si="62"/>
        <v>218.19745080000001</v>
      </c>
      <c r="J222" s="33"/>
      <c r="K222" s="34"/>
      <c r="L222" s="34"/>
      <c r="M222" s="32"/>
      <c r="N222" s="32"/>
    </row>
    <row r="223" spans="1:14" ht="60" x14ac:dyDescent="0.25">
      <c r="A223" s="164">
        <v>204</v>
      </c>
      <c r="B223" s="207"/>
      <c r="C223" s="113" t="s">
        <v>76</v>
      </c>
      <c r="D223" s="42" t="s">
        <v>77</v>
      </c>
      <c r="E223" s="112" t="s">
        <v>8</v>
      </c>
      <c r="F223" s="20">
        <v>12.6</v>
      </c>
      <c r="G223" s="13">
        <v>5.28</v>
      </c>
      <c r="H223" s="13">
        <f t="shared" si="61"/>
        <v>6.4664160000000006</v>
      </c>
      <c r="I223" s="13">
        <f t="shared" si="62"/>
        <v>81.4768416</v>
      </c>
      <c r="J223" s="33"/>
      <c r="K223" s="34"/>
      <c r="L223" s="34"/>
      <c r="M223" s="32"/>
      <c r="N223" s="32"/>
    </row>
    <row r="224" spans="1:14" ht="60" x14ac:dyDescent="0.25">
      <c r="A224" s="164">
        <v>205</v>
      </c>
      <c r="B224" s="207" t="s">
        <v>186</v>
      </c>
      <c r="C224" s="12" t="s">
        <v>72</v>
      </c>
      <c r="D224" s="163" t="s">
        <v>177</v>
      </c>
      <c r="E224" s="112" t="s">
        <v>8</v>
      </c>
      <c r="F224" s="20">
        <f>1.4*0.3+0.6*2.1</f>
        <v>1.68</v>
      </c>
      <c r="G224" s="13">
        <v>22.57</v>
      </c>
      <c r="H224" s="13">
        <f t="shared" ref="H224:H255" si="63">G224+G224*B$18</f>
        <v>27.641479</v>
      </c>
      <c r="I224" s="13">
        <f t="shared" ref="I224:I255" si="64">H224*F224</f>
        <v>46.43768472</v>
      </c>
      <c r="J224" s="33"/>
      <c r="K224" s="34"/>
      <c r="L224" s="34"/>
      <c r="M224" s="32"/>
      <c r="N224" s="32"/>
    </row>
    <row r="225" spans="1:14" ht="60" x14ac:dyDescent="0.25">
      <c r="A225" s="164">
        <v>206</v>
      </c>
      <c r="B225" s="207"/>
      <c r="C225" s="160" t="s">
        <v>74</v>
      </c>
      <c r="D225" s="163" t="s">
        <v>75</v>
      </c>
      <c r="E225" s="112" t="s">
        <v>8</v>
      </c>
      <c r="F225" s="20">
        <f>2.1</f>
        <v>2.1</v>
      </c>
      <c r="G225" s="13">
        <v>14.14</v>
      </c>
      <c r="H225" s="13">
        <f t="shared" si="63"/>
        <v>17.317258000000002</v>
      </c>
      <c r="I225" s="13">
        <f t="shared" si="64"/>
        <v>36.366241800000005</v>
      </c>
      <c r="J225" s="33"/>
      <c r="K225" s="34"/>
      <c r="L225" s="34"/>
      <c r="M225" s="32"/>
      <c r="N225" s="32"/>
    </row>
    <row r="226" spans="1:14" ht="60" x14ac:dyDescent="0.25">
      <c r="A226" s="164">
        <v>207</v>
      </c>
      <c r="B226" s="207"/>
      <c r="C226" s="113" t="s">
        <v>76</v>
      </c>
      <c r="D226" s="42" t="s">
        <v>77</v>
      </c>
      <c r="E226" s="112" t="s">
        <v>8</v>
      </c>
      <c r="F226" s="20">
        <v>2.1</v>
      </c>
      <c r="G226" s="13">
        <v>5.28</v>
      </c>
      <c r="H226" s="13">
        <f t="shared" si="63"/>
        <v>6.4664160000000006</v>
      </c>
      <c r="I226" s="13">
        <f t="shared" si="64"/>
        <v>13.579473600000002</v>
      </c>
      <c r="J226" s="33"/>
      <c r="K226" s="34"/>
      <c r="L226" s="34"/>
      <c r="M226" s="32"/>
      <c r="N226" s="32"/>
    </row>
    <row r="227" spans="1:14" ht="60" x14ac:dyDescent="0.25">
      <c r="A227" s="164">
        <v>208</v>
      </c>
      <c r="B227" s="207" t="s">
        <v>187</v>
      </c>
      <c r="C227" s="12" t="s">
        <v>72</v>
      </c>
      <c r="D227" s="163" t="s">
        <v>177</v>
      </c>
      <c r="E227" s="112" t="s">
        <v>8</v>
      </c>
      <c r="F227" s="20">
        <f>1.4*0.3+0.6*2.1</f>
        <v>1.68</v>
      </c>
      <c r="G227" s="13">
        <v>22.57</v>
      </c>
      <c r="H227" s="13">
        <f t="shared" si="63"/>
        <v>27.641479</v>
      </c>
      <c r="I227" s="13">
        <f t="shared" si="64"/>
        <v>46.43768472</v>
      </c>
      <c r="J227" s="33"/>
      <c r="K227" s="34"/>
      <c r="L227" s="34"/>
      <c r="M227" s="32"/>
      <c r="N227" s="32"/>
    </row>
    <row r="228" spans="1:14" ht="60" x14ac:dyDescent="0.25">
      <c r="A228" s="164">
        <v>209</v>
      </c>
      <c r="B228" s="207"/>
      <c r="C228" s="160" t="s">
        <v>74</v>
      </c>
      <c r="D228" s="163" t="s">
        <v>75</v>
      </c>
      <c r="E228" s="112" t="s">
        <v>8</v>
      </c>
      <c r="F228" s="20">
        <v>2.1</v>
      </c>
      <c r="G228" s="13">
        <v>14.14</v>
      </c>
      <c r="H228" s="13">
        <f t="shared" si="63"/>
        <v>17.317258000000002</v>
      </c>
      <c r="I228" s="13">
        <f t="shared" si="64"/>
        <v>36.366241800000005</v>
      </c>
      <c r="J228" s="33"/>
      <c r="K228" s="34"/>
      <c r="L228" s="34"/>
      <c r="M228" s="32"/>
      <c r="N228" s="32"/>
    </row>
    <row r="229" spans="1:14" ht="60" x14ac:dyDescent="0.25">
      <c r="A229" s="164">
        <v>210</v>
      </c>
      <c r="B229" s="207"/>
      <c r="C229" s="113" t="s">
        <v>76</v>
      </c>
      <c r="D229" s="42" t="s">
        <v>77</v>
      </c>
      <c r="E229" s="112" t="s">
        <v>8</v>
      </c>
      <c r="F229" s="20">
        <v>2.1</v>
      </c>
      <c r="G229" s="13">
        <v>5.28</v>
      </c>
      <c r="H229" s="13">
        <f t="shared" si="63"/>
        <v>6.4664160000000006</v>
      </c>
      <c r="I229" s="13">
        <f t="shared" si="64"/>
        <v>13.579473600000002</v>
      </c>
      <c r="J229" s="33"/>
      <c r="K229" s="34"/>
      <c r="L229" s="34"/>
      <c r="M229" s="32"/>
      <c r="N229" s="32"/>
    </row>
    <row r="230" spans="1:14" ht="60" x14ac:dyDescent="0.25">
      <c r="A230" s="164">
        <v>211</v>
      </c>
      <c r="B230" s="207" t="s">
        <v>188</v>
      </c>
      <c r="C230" s="12" t="s">
        <v>72</v>
      </c>
      <c r="D230" s="163" t="s">
        <v>177</v>
      </c>
      <c r="E230" s="112" t="s">
        <v>8</v>
      </c>
      <c r="F230" s="20">
        <f>2*0.5*0.5+0.8*2.1</f>
        <v>2.1800000000000002</v>
      </c>
      <c r="G230" s="13">
        <v>22.57</v>
      </c>
      <c r="H230" s="13">
        <f t="shared" si="63"/>
        <v>27.641479</v>
      </c>
      <c r="I230" s="13">
        <f t="shared" si="64"/>
        <v>60.258424220000002</v>
      </c>
      <c r="J230" s="33"/>
      <c r="K230" s="34"/>
      <c r="L230" s="34"/>
      <c r="M230" s="32"/>
      <c r="N230" s="32"/>
    </row>
    <row r="231" spans="1:14" ht="60" x14ac:dyDescent="0.25">
      <c r="A231" s="164">
        <v>212</v>
      </c>
      <c r="B231" s="207"/>
      <c r="C231" s="160" t="s">
        <v>74</v>
      </c>
      <c r="D231" s="163" t="s">
        <v>75</v>
      </c>
      <c r="E231" s="112" t="s">
        <v>8</v>
      </c>
      <c r="F231" s="20">
        <v>10.17</v>
      </c>
      <c r="G231" s="13">
        <v>14.14</v>
      </c>
      <c r="H231" s="13">
        <f t="shared" si="63"/>
        <v>17.317258000000002</v>
      </c>
      <c r="I231" s="13">
        <f t="shared" si="64"/>
        <v>176.11651386000003</v>
      </c>
      <c r="J231" s="33"/>
      <c r="K231" s="34"/>
      <c r="L231" s="34"/>
      <c r="M231" s="32"/>
      <c r="N231" s="32"/>
    </row>
    <row r="232" spans="1:14" ht="60" x14ac:dyDescent="0.25">
      <c r="A232" s="164">
        <v>213</v>
      </c>
      <c r="B232" s="207"/>
      <c r="C232" s="113" t="s">
        <v>76</v>
      </c>
      <c r="D232" s="42" t="s">
        <v>77</v>
      </c>
      <c r="E232" s="112" t="s">
        <v>8</v>
      </c>
      <c r="F232" s="20">
        <v>10.17</v>
      </c>
      <c r="G232" s="13">
        <v>5.28</v>
      </c>
      <c r="H232" s="13">
        <f t="shared" si="63"/>
        <v>6.4664160000000006</v>
      </c>
      <c r="I232" s="13">
        <f t="shared" si="64"/>
        <v>65.763450720000009</v>
      </c>
      <c r="J232" s="33"/>
      <c r="K232" s="34"/>
      <c r="L232" s="34"/>
      <c r="M232" s="32"/>
      <c r="N232" s="32"/>
    </row>
    <row r="233" spans="1:14" ht="60" x14ac:dyDescent="0.25">
      <c r="A233" s="164">
        <v>214</v>
      </c>
      <c r="B233" s="207" t="s">
        <v>189</v>
      </c>
      <c r="C233" s="12" t="s">
        <v>72</v>
      </c>
      <c r="D233" s="163" t="s">
        <v>177</v>
      </c>
      <c r="E233" s="112" t="s">
        <v>8</v>
      </c>
      <c r="F233" s="20">
        <f>2*0.5*0.5+0.8*2.1</f>
        <v>2.1800000000000002</v>
      </c>
      <c r="G233" s="13">
        <v>22.57</v>
      </c>
      <c r="H233" s="13">
        <f t="shared" si="63"/>
        <v>27.641479</v>
      </c>
      <c r="I233" s="13">
        <f t="shared" si="64"/>
        <v>60.258424220000002</v>
      </c>
      <c r="J233" s="33"/>
      <c r="K233" s="34"/>
      <c r="L233" s="34"/>
      <c r="M233" s="32"/>
      <c r="N233" s="32"/>
    </row>
    <row r="234" spans="1:14" ht="60" x14ac:dyDescent="0.25">
      <c r="A234" s="164">
        <v>215</v>
      </c>
      <c r="B234" s="207"/>
      <c r="C234" s="160" t="s">
        <v>74</v>
      </c>
      <c r="D234" s="163" t="s">
        <v>75</v>
      </c>
      <c r="E234" s="112" t="s">
        <v>8</v>
      </c>
      <c r="F234" s="20">
        <v>8.9700000000000006</v>
      </c>
      <c r="G234" s="13">
        <v>14.14</v>
      </c>
      <c r="H234" s="13">
        <f t="shared" si="63"/>
        <v>17.317258000000002</v>
      </c>
      <c r="I234" s="13">
        <f t="shared" si="64"/>
        <v>155.33580426000003</v>
      </c>
      <c r="J234" s="33"/>
      <c r="K234" s="34"/>
      <c r="L234" s="34"/>
      <c r="M234" s="32"/>
      <c r="N234" s="32"/>
    </row>
    <row r="235" spans="1:14" ht="60" x14ac:dyDescent="0.25">
      <c r="A235" s="164">
        <v>216</v>
      </c>
      <c r="B235" s="207"/>
      <c r="C235" s="113" t="s">
        <v>76</v>
      </c>
      <c r="D235" s="42" t="s">
        <v>77</v>
      </c>
      <c r="E235" s="112" t="s">
        <v>8</v>
      </c>
      <c r="F235" s="20">
        <v>8.9700000000000006</v>
      </c>
      <c r="G235" s="13">
        <v>5.28</v>
      </c>
      <c r="H235" s="13">
        <f t="shared" si="63"/>
        <v>6.4664160000000006</v>
      </c>
      <c r="I235" s="13">
        <f t="shared" si="64"/>
        <v>58.003751520000009</v>
      </c>
      <c r="J235" s="33"/>
      <c r="K235" s="34"/>
      <c r="L235" s="34"/>
      <c r="M235" s="32"/>
      <c r="N235" s="32"/>
    </row>
    <row r="236" spans="1:14" ht="60" x14ac:dyDescent="0.25">
      <c r="A236" s="164">
        <v>217</v>
      </c>
      <c r="B236" s="207" t="s">
        <v>190</v>
      </c>
      <c r="C236" s="12" t="s">
        <v>72</v>
      </c>
      <c r="D236" s="163" t="s">
        <v>177</v>
      </c>
      <c r="E236" s="112" t="s">
        <v>8</v>
      </c>
      <c r="F236" s="20">
        <f>1*2.1+0.5*0.5</f>
        <v>2.35</v>
      </c>
      <c r="G236" s="13">
        <v>22.57</v>
      </c>
      <c r="H236" s="13">
        <f t="shared" si="63"/>
        <v>27.641479</v>
      </c>
      <c r="I236" s="13">
        <f t="shared" si="64"/>
        <v>64.957475650000006</v>
      </c>
      <c r="J236" s="33"/>
      <c r="K236" s="34"/>
      <c r="L236" s="34"/>
      <c r="M236" s="32"/>
      <c r="N236" s="32"/>
    </row>
    <row r="237" spans="1:14" ht="60" x14ac:dyDescent="0.25">
      <c r="A237" s="164">
        <v>218</v>
      </c>
      <c r="B237" s="207"/>
      <c r="C237" s="160" t="s">
        <v>74</v>
      </c>
      <c r="D237" s="163" t="s">
        <v>75</v>
      </c>
      <c r="E237" s="112" t="s">
        <v>8</v>
      </c>
      <c r="F237" s="20">
        <v>4.0250000000000004</v>
      </c>
      <c r="G237" s="13">
        <v>14.14</v>
      </c>
      <c r="H237" s="13">
        <f t="shared" si="63"/>
        <v>17.317258000000002</v>
      </c>
      <c r="I237" s="13">
        <f t="shared" si="64"/>
        <v>69.701963450000022</v>
      </c>
      <c r="J237" s="33"/>
      <c r="K237" s="34"/>
      <c r="L237" s="34"/>
      <c r="M237" s="32"/>
      <c r="N237" s="32"/>
    </row>
    <row r="238" spans="1:14" ht="60" x14ac:dyDescent="0.25">
      <c r="A238" s="164">
        <v>219</v>
      </c>
      <c r="B238" s="207"/>
      <c r="C238" s="113" t="s">
        <v>76</v>
      </c>
      <c r="D238" s="42" t="s">
        <v>77</v>
      </c>
      <c r="E238" s="112" t="s">
        <v>8</v>
      </c>
      <c r="F238" s="20">
        <v>4.0250000000000004</v>
      </c>
      <c r="G238" s="13">
        <v>5.28</v>
      </c>
      <c r="H238" s="13">
        <f t="shared" si="63"/>
        <v>6.4664160000000006</v>
      </c>
      <c r="I238" s="13">
        <f t="shared" si="64"/>
        <v>26.027324400000005</v>
      </c>
      <c r="J238" s="33"/>
      <c r="K238" s="34"/>
      <c r="L238" s="34"/>
      <c r="M238" s="32"/>
      <c r="N238" s="32"/>
    </row>
    <row r="239" spans="1:14" ht="45" x14ac:dyDescent="0.25">
      <c r="A239" s="164">
        <v>220</v>
      </c>
      <c r="B239" s="207" t="s">
        <v>117</v>
      </c>
      <c r="C239" s="12" t="s">
        <v>68</v>
      </c>
      <c r="D239" s="25" t="s">
        <v>69</v>
      </c>
      <c r="E239" s="112" t="s">
        <v>8</v>
      </c>
      <c r="F239" s="20">
        <f>27.4*3.9-F241</f>
        <v>98.179999999999978</v>
      </c>
      <c r="G239" s="13">
        <v>8.64</v>
      </c>
      <c r="H239" s="13">
        <f t="shared" si="63"/>
        <v>10.581408000000001</v>
      </c>
      <c r="I239" s="13">
        <f t="shared" si="64"/>
        <v>1038.8826374399998</v>
      </c>
      <c r="J239" s="33"/>
      <c r="K239" s="34"/>
      <c r="L239" s="34"/>
      <c r="M239" s="32"/>
      <c r="N239" s="32"/>
    </row>
    <row r="240" spans="1:14" ht="60" x14ac:dyDescent="0.25">
      <c r="A240" s="164">
        <v>221</v>
      </c>
      <c r="B240" s="207"/>
      <c r="C240" s="12" t="s">
        <v>70</v>
      </c>
      <c r="D240" s="25" t="s">
        <v>71</v>
      </c>
      <c r="E240" s="112" t="s">
        <v>8</v>
      </c>
      <c r="F240" s="20">
        <f>F239</f>
        <v>98.179999999999978</v>
      </c>
      <c r="G240" s="13">
        <v>4.21</v>
      </c>
      <c r="H240" s="13">
        <f t="shared" si="63"/>
        <v>5.1559869999999997</v>
      </c>
      <c r="I240" s="13">
        <f t="shared" si="64"/>
        <v>506.21480365999986</v>
      </c>
      <c r="J240" s="33"/>
      <c r="K240" s="34"/>
      <c r="L240" s="34"/>
      <c r="M240" s="32"/>
      <c r="N240" s="32"/>
    </row>
    <row r="241" spans="1:14" ht="60" x14ac:dyDescent="0.25">
      <c r="A241" s="164">
        <v>222</v>
      </c>
      <c r="B241" s="207"/>
      <c r="C241" s="12" t="s">
        <v>72</v>
      </c>
      <c r="D241" s="163" t="s">
        <v>177</v>
      </c>
      <c r="E241" s="112" t="s">
        <v>8</v>
      </c>
      <c r="F241" s="20">
        <f>2*2*1.15+2*1.2+0.8*2.1</f>
        <v>8.68</v>
      </c>
      <c r="G241" s="13">
        <v>22.57</v>
      </c>
      <c r="H241" s="13">
        <f t="shared" si="63"/>
        <v>27.641479</v>
      </c>
      <c r="I241" s="13">
        <f t="shared" si="64"/>
        <v>239.92803771999999</v>
      </c>
      <c r="J241" s="33"/>
      <c r="K241" s="34"/>
      <c r="L241" s="34"/>
      <c r="M241" s="32"/>
      <c r="N241" s="32"/>
    </row>
    <row r="242" spans="1:14" ht="60" x14ac:dyDescent="0.25">
      <c r="A242" s="164">
        <v>223</v>
      </c>
      <c r="B242" s="207"/>
      <c r="C242" s="160" t="s">
        <v>74</v>
      </c>
      <c r="D242" s="163" t="s">
        <v>75</v>
      </c>
      <c r="E242" s="112" t="s">
        <v>8</v>
      </c>
      <c r="F242" s="20">
        <v>44.67</v>
      </c>
      <c r="G242" s="13">
        <v>14.14</v>
      </c>
      <c r="H242" s="13">
        <f t="shared" si="63"/>
        <v>17.317258000000002</v>
      </c>
      <c r="I242" s="13">
        <f t="shared" si="64"/>
        <v>773.56191486000012</v>
      </c>
      <c r="J242" s="33"/>
      <c r="K242" s="34"/>
      <c r="L242" s="34"/>
      <c r="M242" s="32"/>
      <c r="N242" s="32"/>
    </row>
    <row r="243" spans="1:14" ht="60" x14ac:dyDescent="0.25">
      <c r="A243" s="164">
        <v>224</v>
      </c>
      <c r="B243" s="207"/>
      <c r="C243" s="113" t="s">
        <v>76</v>
      </c>
      <c r="D243" s="42" t="s">
        <v>77</v>
      </c>
      <c r="E243" s="112" t="s">
        <v>8</v>
      </c>
      <c r="F243" s="20">
        <v>44.67</v>
      </c>
      <c r="G243" s="13">
        <v>5.28</v>
      </c>
      <c r="H243" s="13">
        <f t="shared" si="63"/>
        <v>6.4664160000000006</v>
      </c>
      <c r="I243" s="13">
        <f t="shared" si="64"/>
        <v>288.85480272000007</v>
      </c>
      <c r="J243" s="33"/>
      <c r="K243" s="34"/>
      <c r="L243" s="34"/>
      <c r="M243" s="32"/>
      <c r="N243" s="32"/>
    </row>
    <row r="244" spans="1:14" ht="45" x14ac:dyDescent="0.25">
      <c r="A244" s="164">
        <v>225</v>
      </c>
      <c r="B244" s="207" t="s">
        <v>118</v>
      </c>
      <c r="C244" s="12" t="s">
        <v>68</v>
      </c>
      <c r="D244" s="25" t="s">
        <v>69</v>
      </c>
      <c r="E244" s="112" t="s">
        <v>8</v>
      </c>
      <c r="F244" s="20">
        <f>25.36*3.3-F246</f>
        <v>70.362999999999985</v>
      </c>
      <c r="G244" s="13">
        <v>8.64</v>
      </c>
      <c r="H244" s="13">
        <f t="shared" si="63"/>
        <v>10.581408000000001</v>
      </c>
      <c r="I244" s="13">
        <f t="shared" si="64"/>
        <v>744.53961110399996</v>
      </c>
      <c r="J244" s="33"/>
      <c r="K244" s="34"/>
      <c r="L244" s="34"/>
      <c r="M244" s="32"/>
      <c r="N244" s="32"/>
    </row>
    <row r="245" spans="1:14" ht="60" x14ac:dyDescent="0.25">
      <c r="A245" s="164">
        <v>226</v>
      </c>
      <c r="B245" s="207"/>
      <c r="C245" s="12" t="s">
        <v>70</v>
      </c>
      <c r="D245" s="25" t="s">
        <v>71</v>
      </c>
      <c r="E245" s="112" t="s">
        <v>8</v>
      </c>
      <c r="F245" s="20">
        <f>F244</f>
        <v>70.362999999999985</v>
      </c>
      <c r="G245" s="13">
        <v>4.21</v>
      </c>
      <c r="H245" s="13">
        <f t="shared" si="63"/>
        <v>5.1559869999999997</v>
      </c>
      <c r="I245" s="13">
        <f t="shared" si="64"/>
        <v>362.79071328099991</v>
      </c>
      <c r="J245" s="33"/>
      <c r="K245" s="34"/>
      <c r="L245" s="34"/>
      <c r="M245" s="32"/>
      <c r="N245" s="32"/>
    </row>
    <row r="246" spans="1:14" ht="60" x14ac:dyDescent="0.25">
      <c r="A246" s="164">
        <v>227</v>
      </c>
      <c r="B246" s="207"/>
      <c r="C246" s="12" t="s">
        <v>72</v>
      </c>
      <c r="D246" s="163" t="s">
        <v>177</v>
      </c>
      <c r="E246" s="112" t="s">
        <v>8</v>
      </c>
      <c r="F246" s="20">
        <f>6.85*1.7+0.8*2.1</f>
        <v>13.324999999999999</v>
      </c>
      <c r="G246" s="13">
        <v>22.57</v>
      </c>
      <c r="H246" s="13">
        <f t="shared" si="63"/>
        <v>27.641479</v>
      </c>
      <c r="I246" s="13">
        <f t="shared" si="64"/>
        <v>368.322707675</v>
      </c>
      <c r="J246" s="33"/>
      <c r="K246" s="34"/>
      <c r="L246" s="34"/>
      <c r="M246" s="32"/>
      <c r="N246" s="32"/>
    </row>
    <row r="247" spans="1:14" ht="60" x14ac:dyDescent="0.25">
      <c r="A247" s="164">
        <v>228</v>
      </c>
      <c r="B247" s="207"/>
      <c r="C247" s="160" t="s">
        <v>74</v>
      </c>
      <c r="D247" s="163" t="s">
        <v>75</v>
      </c>
      <c r="E247" s="112" t="s">
        <v>8</v>
      </c>
      <c r="F247" s="20">
        <v>36.81</v>
      </c>
      <c r="G247" s="13">
        <v>14.14</v>
      </c>
      <c r="H247" s="13">
        <f t="shared" si="63"/>
        <v>17.317258000000002</v>
      </c>
      <c r="I247" s="13">
        <f t="shared" si="64"/>
        <v>637.44826698000008</v>
      </c>
      <c r="J247" s="33"/>
      <c r="K247" s="34"/>
      <c r="L247" s="34"/>
      <c r="M247" s="32"/>
      <c r="N247" s="32"/>
    </row>
    <row r="248" spans="1:14" ht="60" x14ac:dyDescent="0.25">
      <c r="A248" s="164">
        <v>229</v>
      </c>
      <c r="B248" s="207"/>
      <c r="C248" s="113" t="s">
        <v>76</v>
      </c>
      <c r="D248" s="42" t="s">
        <v>77</v>
      </c>
      <c r="E248" s="112" t="s">
        <v>8</v>
      </c>
      <c r="F248" s="20">
        <v>36.81</v>
      </c>
      <c r="G248" s="13">
        <v>5.28</v>
      </c>
      <c r="H248" s="13">
        <f t="shared" si="63"/>
        <v>6.4664160000000006</v>
      </c>
      <c r="I248" s="13">
        <f t="shared" si="64"/>
        <v>238.02877296000003</v>
      </c>
      <c r="J248" s="33"/>
      <c r="K248" s="34"/>
      <c r="L248" s="34"/>
      <c r="M248" s="32"/>
      <c r="N248" s="32"/>
    </row>
    <row r="249" spans="1:14" ht="45" x14ac:dyDescent="0.25">
      <c r="A249" s="164">
        <v>230</v>
      </c>
      <c r="B249" s="207" t="s">
        <v>126</v>
      </c>
      <c r="C249" s="12" t="s">
        <v>68</v>
      </c>
      <c r="D249" s="25" t="s">
        <v>69</v>
      </c>
      <c r="E249" s="112" t="s">
        <v>8</v>
      </c>
      <c r="F249" s="20">
        <f>25.06*3.3-F251</f>
        <v>69.37299999999999</v>
      </c>
      <c r="G249" s="13">
        <v>8.64</v>
      </c>
      <c r="H249" s="13">
        <f t="shared" si="63"/>
        <v>10.581408000000001</v>
      </c>
      <c r="I249" s="13">
        <f t="shared" si="64"/>
        <v>734.06401718400002</v>
      </c>
      <c r="J249" s="33"/>
      <c r="K249" s="34"/>
      <c r="L249" s="34"/>
      <c r="M249" s="32"/>
      <c r="N249" s="32"/>
    </row>
    <row r="250" spans="1:14" ht="60" x14ac:dyDescent="0.25">
      <c r="A250" s="164">
        <v>231</v>
      </c>
      <c r="B250" s="207"/>
      <c r="C250" s="12" t="s">
        <v>70</v>
      </c>
      <c r="D250" s="25" t="s">
        <v>71</v>
      </c>
      <c r="E250" s="112" t="s">
        <v>8</v>
      </c>
      <c r="F250" s="20">
        <f>F249</f>
        <v>69.37299999999999</v>
      </c>
      <c r="G250" s="13">
        <v>4.21</v>
      </c>
      <c r="H250" s="13">
        <f t="shared" si="63"/>
        <v>5.1559869999999997</v>
      </c>
      <c r="I250" s="13">
        <f t="shared" si="64"/>
        <v>357.68628615099993</v>
      </c>
      <c r="J250" s="33"/>
      <c r="K250" s="34"/>
      <c r="L250" s="34"/>
      <c r="M250" s="32"/>
      <c r="N250" s="32"/>
    </row>
    <row r="251" spans="1:14" ht="60" x14ac:dyDescent="0.25">
      <c r="A251" s="164">
        <v>232</v>
      </c>
      <c r="B251" s="207"/>
      <c r="C251" s="12" t="s">
        <v>72</v>
      </c>
      <c r="D251" s="163" t="s">
        <v>177</v>
      </c>
      <c r="E251" s="112" t="s">
        <v>8</v>
      </c>
      <c r="F251" s="20">
        <f>F246</f>
        <v>13.324999999999999</v>
      </c>
      <c r="G251" s="13">
        <v>22.57</v>
      </c>
      <c r="H251" s="13">
        <f t="shared" si="63"/>
        <v>27.641479</v>
      </c>
      <c r="I251" s="13">
        <f t="shared" si="64"/>
        <v>368.322707675</v>
      </c>
      <c r="J251" s="33"/>
      <c r="K251" s="34"/>
      <c r="L251" s="34"/>
      <c r="M251" s="32"/>
      <c r="N251" s="32"/>
    </row>
    <row r="252" spans="1:14" ht="60" x14ac:dyDescent="0.25">
      <c r="A252" s="164">
        <v>233</v>
      </c>
      <c r="B252" s="207"/>
      <c r="C252" s="160" t="s">
        <v>74</v>
      </c>
      <c r="D252" s="163" t="s">
        <v>75</v>
      </c>
      <c r="E252" s="112" t="s">
        <v>8</v>
      </c>
      <c r="F252" s="20">
        <v>36.14</v>
      </c>
      <c r="G252" s="13">
        <v>14.14</v>
      </c>
      <c r="H252" s="13">
        <f t="shared" si="63"/>
        <v>17.317258000000002</v>
      </c>
      <c r="I252" s="13">
        <f t="shared" si="64"/>
        <v>625.84570412000005</v>
      </c>
      <c r="J252" s="33"/>
      <c r="K252" s="34"/>
      <c r="L252" s="34"/>
      <c r="M252" s="32"/>
      <c r="N252" s="32"/>
    </row>
    <row r="253" spans="1:14" ht="60" x14ac:dyDescent="0.25">
      <c r="A253" s="164">
        <v>234</v>
      </c>
      <c r="B253" s="207"/>
      <c r="C253" s="113" t="s">
        <v>76</v>
      </c>
      <c r="D253" s="42" t="s">
        <v>77</v>
      </c>
      <c r="E253" s="112" t="s">
        <v>8</v>
      </c>
      <c r="F253" s="20">
        <v>36.14</v>
      </c>
      <c r="G253" s="13">
        <v>5.28</v>
      </c>
      <c r="H253" s="13">
        <f t="shared" si="63"/>
        <v>6.4664160000000006</v>
      </c>
      <c r="I253" s="13">
        <f t="shared" si="64"/>
        <v>233.69627424000004</v>
      </c>
      <c r="J253" s="33"/>
      <c r="K253" s="34"/>
      <c r="L253" s="34"/>
      <c r="M253" s="32"/>
      <c r="N253" s="32"/>
    </row>
    <row r="254" spans="1:14" ht="45" x14ac:dyDescent="0.25">
      <c r="A254" s="164">
        <v>235</v>
      </c>
      <c r="B254" s="207" t="s">
        <v>127</v>
      </c>
      <c r="C254" s="12" t="s">
        <v>68</v>
      </c>
      <c r="D254" s="25" t="s">
        <v>69</v>
      </c>
      <c r="E254" s="112" t="s">
        <v>8</v>
      </c>
      <c r="F254" s="20">
        <f>25.12*3.3-F256</f>
        <v>69.570999999999998</v>
      </c>
      <c r="G254" s="13">
        <v>8.64</v>
      </c>
      <c r="H254" s="13">
        <f t="shared" si="63"/>
        <v>10.581408000000001</v>
      </c>
      <c r="I254" s="13">
        <f t="shared" si="64"/>
        <v>736.1591359680001</v>
      </c>
      <c r="J254" s="33"/>
      <c r="K254" s="34"/>
      <c r="L254" s="34"/>
      <c r="M254" s="32"/>
      <c r="N254" s="32"/>
    </row>
    <row r="255" spans="1:14" ht="60" x14ac:dyDescent="0.25">
      <c r="A255" s="164">
        <v>236</v>
      </c>
      <c r="B255" s="207"/>
      <c r="C255" s="12" t="s">
        <v>70</v>
      </c>
      <c r="D255" s="25" t="s">
        <v>71</v>
      </c>
      <c r="E255" s="112" t="s">
        <v>8</v>
      </c>
      <c r="F255" s="20">
        <f>F254</f>
        <v>69.570999999999998</v>
      </c>
      <c r="G255" s="13">
        <v>4.21</v>
      </c>
      <c r="H255" s="13">
        <f t="shared" si="63"/>
        <v>5.1559869999999997</v>
      </c>
      <c r="I255" s="13">
        <f t="shared" si="64"/>
        <v>358.70717157699994</v>
      </c>
      <c r="J255" s="33"/>
      <c r="K255" s="34"/>
      <c r="L255" s="34"/>
      <c r="M255" s="32"/>
      <c r="N255" s="32"/>
    </row>
    <row r="256" spans="1:14" ht="60" x14ac:dyDescent="0.25">
      <c r="A256" s="164">
        <v>237</v>
      </c>
      <c r="B256" s="207"/>
      <c r="C256" s="12" t="s">
        <v>72</v>
      </c>
      <c r="D256" s="163" t="s">
        <v>177</v>
      </c>
      <c r="E256" s="112" t="s">
        <v>8</v>
      </c>
      <c r="F256" s="20">
        <f>F251</f>
        <v>13.324999999999999</v>
      </c>
      <c r="G256" s="13">
        <v>22.57</v>
      </c>
      <c r="H256" s="13">
        <f t="shared" ref="H256:H268" si="65">G256+G256*B$18</f>
        <v>27.641479</v>
      </c>
      <c r="I256" s="13">
        <f t="shared" ref="I256:I268" si="66">H256*F256</f>
        <v>368.322707675</v>
      </c>
      <c r="J256" s="33"/>
      <c r="K256" s="34"/>
      <c r="L256" s="34"/>
      <c r="M256" s="32"/>
      <c r="N256" s="32"/>
    </row>
    <row r="257" spans="1:14" ht="60" x14ac:dyDescent="0.25">
      <c r="A257" s="164">
        <v>238</v>
      </c>
      <c r="B257" s="207"/>
      <c r="C257" s="160" t="s">
        <v>74</v>
      </c>
      <c r="D257" s="163" t="s">
        <v>75</v>
      </c>
      <c r="E257" s="112" t="s">
        <v>8</v>
      </c>
      <c r="F257" s="20">
        <v>36.270000000000003</v>
      </c>
      <c r="G257" s="13">
        <v>14.14</v>
      </c>
      <c r="H257" s="13">
        <f t="shared" si="65"/>
        <v>17.317258000000002</v>
      </c>
      <c r="I257" s="13">
        <f t="shared" si="66"/>
        <v>628.09694766000018</v>
      </c>
      <c r="J257" s="33"/>
      <c r="K257" s="34"/>
      <c r="L257" s="34"/>
      <c r="M257" s="32"/>
      <c r="N257" s="32"/>
    </row>
    <row r="258" spans="1:14" ht="60" x14ac:dyDescent="0.25">
      <c r="A258" s="164">
        <v>239</v>
      </c>
      <c r="B258" s="207"/>
      <c r="C258" s="113" t="s">
        <v>76</v>
      </c>
      <c r="D258" s="42" t="s">
        <v>77</v>
      </c>
      <c r="E258" s="112" t="s">
        <v>8</v>
      </c>
      <c r="F258" s="20">
        <v>36.270000000000003</v>
      </c>
      <c r="G258" s="13">
        <v>5.28</v>
      </c>
      <c r="H258" s="13">
        <f t="shared" si="65"/>
        <v>6.4664160000000006</v>
      </c>
      <c r="I258" s="13">
        <f t="shared" si="66"/>
        <v>234.53690832000004</v>
      </c>
      <c r="J258" s="33"/>
      <c r="K258" s="34"/>
      <c r="L258" s="34"/>
      <c r="M258" s="32"/>
      <c r="N258" s="32"/>
    </row>
    <row r="259" spans="1:14" ht="45" x14ac:dyDescent="0.25">
      <c r="A259" s="164">
        <v>240</v>
      </c>
      <c r="B259" s="207" t="s">
        <v>191</v>
      </c>
      <c r="C259" s="12" t="s">
        <v>68</v>
      </c>
      <c r="D259" s="25" t="s">
        <v>69</v>
      </c>
      <c r="E259" s="112" t="s">
        <v>8</v>
      </c>
      <c r="F259" s="20">
        <f>25.42*3.5-F261</f>
        <v>83.69</v>
      </c>
      <c r="G259" s="13">
        <v>8.64</v>
      </c>
      <c r="H259" s="13">
        <f t="shared" si="65"/>
        <v>10.581408000000001</v>
      </c>
      <c r="I259" s="13">
        <f t="shared" si="66"/>
        <v>885.55803552000009</v>
      </c>
      <c r="J259" s="33"/>
      <c r="K259" s="34"/>
      <c r="L259" s="34"/>
      <c r="M259" s="32"/>
      <c r="N259" s="32"/>
    </row>
    <row r="260" spans="1:14" ht="60" x14ac:dyDescent="0.25">
      <c r="A260" s="164">
        <v>241</v>
      </c>
      <c r="B260" s="207"/>
      <c r="C260" s="12" t="s">
        <v>70</v>
      </c>
      <c r="D260" s="25" t="s">
        <v>71</v>
      </c>
      <c r="E260" s="112" t="s">
        <v>8</v>
      </c>
      <c r="F260" s="20">
        <f>F259</f>
        <v>83.69</v>
      </c>
      <c r="G260" s="13">
        <v>4.21</v>
      </c>
      <c r="H260" s="13">
        <f t="shared" si="65"/>
        <v>5.1559869999999997</v>
      </c>
      <c r="I260" s="13">
        <f t="shared" si="66"/>
        <v>431.50455202999996</v>
      </c>
      <c r="J260" s="33"/>
      <c r="K260" s="34"/>
      <c r="L260" s="34"/>
      <c r="M260" s="32"/>
      <c r="N260" s="32"/>
    </row>
    <row r="261" spans="1:14" ht="60" x14ac:dyDescent="0.25">
      <c r="A261" s="164">
        <v>242</v>
      </c>
      <c r="B261" s="207"/>
      <c r="C261" s="12" t="s">
        <v>72</v>
      </c>
      <c r="D261" s="163" t="s">
        <v>177</v>
      </c>
      <c r="E261" s="112" t="s">
        <v>8</v>
      </c>
      <c r="F261" s="20">
        <f>2*1.5*1.2+0.8*2.1</f>
        <v>5.2799999999999994</v>
      </c>
      <c r="G261" s="13">
        <v>22.57</v>
      </c>
      <c r="H261" s="13">
        <f t="shared" si="65"/>
        <v>27.641479</v>
      </c>
      <c r="I261" s="13">
        <f t="shared" si="66"/>
        <v>145.94700911999999</v>
      </c>
      <c r="J261" s="33"/>
      <c r="K261" s="34"/>
      <c r="L261" s="34"/>
      <c r="M261" s="32"/>
      <c r="N261" s="32"/>
    </row>
    <row r="262" spans="1:14" ht="60" x14ac:dyDescent="0.25">
      <c r="A262" s="164">
        <v>243</v>
      </c>
      <c r="B262" s="207"/>
      <c r="C262" s="160" t="s">
        <v>74</v>
      </c>
      <c r="D262" s="163" t="s">
        <v>75</v>
      </c>
      <c r="E262" s="112" t="s">
        <v>8</v>
      </c>
      <c r="F262" s="20">
        <v>38.549999999999997</v>
      </c>
      <c r="G262" s="13">
        <v>14.14</v>
      </c>
      <c r="H262" s="13">
        <f t="shared" si="65"/>
        <v>17.317258000000002</v>
      </c>
      <c r="I262" s="13">
        <f t="shared" si="66"/>
        <v>667.58029590000001</v>
      </c>
      <c r="J262" s="33"/>
      <c r="K262" s="34"/>
      <c r="L262" s="34"/>
      <c r="M262" s="32"/>
      <c r="N262" s="32"/>
    </row>
    <row r="263" spans="1:14" ht="60" x14ac:dyDescent="0.25">
      <c r="A263" s="164">
        <v>244</v>
      </c>
      <c r="B263" s="207"/>
      <c r="C263" s="113" t="s">
        <v>76</v>
      </c>
      <c r="D263" s="42" t="s">
        <v>77</v>
      </c>
      <c r="E263" s="112" t="s">
        <v>8</v>
      </c>
      <c r="F263" s="20">
        <v>38.549999999999997</v>
      </c>
      <c r="G263" s="13">
        <v>5.28</v>
      </c>
      <c r="H263" s="13">
        <f t="shared" si="65"/>
        <v>6.4664160000000006</v>
      </c>
      <c r="I263" s="13">
        <f t="shared" si="66"/>
        <v>249.28033680000001</v>
      </c>
      <c r="J263" s="33"/>
      <c r="K263" s="34"/>
      <c r="L263" s="34"/>
      <c r="M263" s="32"/>
      <c r="N263" s="32"/>
    </row>
    <row r="264" spans="1:14" ht="45" x14ac:dyDescent="0.25">
      <c r="A264" s="164">
        <v>245</v>
      </c>
      <c r="B264" s="207" t="s">
        <v>132</v>
      </c>
      <c r="C264" s="12" t="s">
        <v>68</v>
      </c>
      <c r="D264" s="25" t="s">
        <v>69</v>
      </c>
      <c r="E264" s="112" t="s">
        <v>8</v>
      </c>
      <c r="F264" s="20">
        <f>24.66*3.5-F266</f>
        <v>81.03</v>
      </c>
      <c r="G264" s="13">
        <v>8.64</v>
      </c>
      <c r="H264" s="13">
        <f t="shared" si="65"/>
        <v>10.581408000000001</v>
      </c>
      <c r="I264" s="13">
        <f t="shared" si="66"/>
        <v>857.41149024000015</v>
      </c>
      <c r="J264" s="33"/>
      <c r="K264" s="34"/>
      <c r="L264" s="34"/>
      <c r="M264" s="32"/>
      <c r="N264" s="32"/>
    </row>
    <row r="265" spans="1:14" ht="60" x14ac:dyDescent="0.25">
      <c r="A265" s="164">
        <v>246</v>
      </c>
      <c r="B265" s="207"/>
      <c r="C265" s="12" t="s">
        <v>70</v>
      </c>
      <c r="D265" s="25" t="s">
        <v>71</v>
      </c>
      <c r="E265" s="112" t="s">
        <v>8</v>
      </c>
      <c r="F265" s="20">
        <f>F264</f>
        <v>81.03</v>
      </c>
      <c r="G265" s="13">
        <v>4.21</v>
      </c>
      <c r="H265" s="13">
        <f t="shared" si="65"/>
        <v>5.1559869999999997</v>
      </c>
      <c r="I265" s="13">
        <f t="shared" si="66"/>
        <v>417.78962660999997</v>
      </c>
      <c r="J265" s="33"/>
      <c r="K265" s="34"/>
      <c r="L265" s="34"/>
      <c r="M265" s="32"/>
      <c r="N265" s="32"/>
    </row>
    <row r="266" spans="1:14" ht="60" x14ac:dyDescent="0.25">
      <c r="A266" s="164">
        <v>247</v>
      </c>
      <c r="B266" s="207"/>
      <c r="C266" s="12" t="s">
        <v>72</v>
      </c>
      <c r="D266" s="163" t="s">
        <v>177</v>
      </c>
      <c r="E266" s="112" t="s">
        <v>8</v>
      </c>
      <c r="F266" s="20">
        <f>F261</f>
        <v>5.2799999999999994</v>
      </c>
      <c r="G266" s="13">
        <v>22.57</v>
      </c>
      <c r="H266" s="13">
        <f t="shared" si="65"/>
        <v>27.641479</v>
      </c>
      <c r="I266" s="13">
        <f t="shared" si="66"/>
        <v>145.94700911999999</v>
      </c>
      <c r="J266" s="33"/>
      <c r="K266" s="34"/>
      <c r="L266" s="34"/>
      <c r="M266" s="32"/>
      <c r="N266" s="32"/>
    </row>
    <row r="267" spans="1:14" ht="60" x14ac:dyDescent="0.25">
      <c r="A267" s="164">
        <v>248</v>
      </c>
      <c r="B267" s="207"/>
      <c r="C267" s="160" t="s">
        <v>74</v>
      </c>
      <c r="D267" s="163" t="s">
        <v>75</v>
      </c>
      <c r="E267" s="112" t="s">
        <v>8</v>
      </c>
      <c r="F267" s="20">
        <v>36.65</v>
      </c>
      <c r="G267" s="13">
        <v>14.14</v>
      </c>
      <c r="H267" s="13">
        <f t="shared" si="65"/>
        <v>17.317258000000002</v>
      </c>
      <c r="I267" s="13">
        <f t="shared" si="66"/>
        <v>634.6775057000001</v>
      </c>
      <c r="J267" s="33"/>
      <c r="K267" s="34"/>
      <c r="L267" s="34"/>
      <c r="M267" s="32"/>
      <c r="N267" s="32"/>
    </row>
    <row r="268" spans="1:14" ht="60" x14ac:dyDescent="0.25">
      <c r="A268" s="164">
        <v>249</v>
      </c>
      <c r="B268" s="207"/>
      <c r="C268" s="113" t="s">
        <v>76</v>
      </c>
      <c r="D268" s="42" t="s">
        <v>77</v>
      </c>
      <c r="E268" s="112" t="s">
        <v>8</v>
      </c>
      <c r="F268" s="20">
        <v>36.65</v>
      </c>
      <c r="G268" s="13">
        <v>5.28</v>
      </c>
      <c r="H268" s="13">
        <f t="shared" si="65"/>
        <v>6.4664160000000006</v>
      </c>
      <c r="I268" s="13">
        <f t="shared" si="66"/>
        <v>236.99414640000001</v>
      </c>
      <c r="J268" s="33"/>
      <c r="K268" s="34"/>
      <c r="L268" s="34"/>
      <c r="M268" s="32"/>
      <c r="N268" s="32"/>
    </row>
    <row r="269" spans="1:14" ht="45" x14ac:dyDescent="0.25">
      <c r="A269" s="164">
        <v>250</v>
      </c>
      <c r="B269" s="207" t="s">
        <v>125</v>
      </c>
      <c r="C269" s="12" t="s">
        <v>68</v>
      </c>
      <c r="D269" s="25" t="s">
        <v>69</v>
      </c>
      <c r="E269" s="112" t="s">
        <v>8</v>
      </c>
      <c r="F269" s="20">
        <f>41.74*3.85+153.39*4.3+103.97*4.3-(F266+F261+F256+F251+F246+F241+F236+F233+F230+F227+F224+F221+F216+F211+F208+F205+F200+F197+F192+F187+F182+F177+F172+F167+F162)</f>
        <v>1106.2219999999998</v>
      </c>
      <c r="G269" s="13">
        <v>8.64</v>
      </c>
      <c r="H269" s="13">
        <f t="shared" ref="H269:H273" si="67">G269+G269*B$18</f>
        <v>10.581408000000001</v>
      </c>
      <c r="I269" s="13">
        <f t="shared" ref="I269:I273" si="68">H269*F269</f>
        <v>11705.386320575999</v>
      </c>
      <c r="J269" s="33"/>
      <c r="K269" s="34"/>
      <c r="L269" s="34"/>
      <c r="M269" s="32"/>
      <c r="N269" s="32"/>
    </row>
    <row r="270" spans="1:14" ht="60" x14ac:dyDescent="0.25">
      <c r="A270" s="164">
        <v>251</v>
      </c>
      <c r="B270" s="207"/>
      <c r="C270" s="12" t="s">
        <v>70</v>
      </c>
      <c r="D270" s="25" t="s">
        <v>71</v>
      </c>
      <c r="E270" s="112" t="s">
        <v>8</v>
      </c>
      <c r="F270" s="20">
        <f>F269</f>
        <v>1106.2219999999998</v>
      </c>
      <c r="G270" s="13">
        <v>4.21</v>
      </c>
      <c r="H270" s="13">
        <f t="shared" si="67"/>
        <v>5.1559869999999997</v>
      </c>
      <c r="I270" s="13">
        <f t="shared" si="68"/>
        <v>5703.6662511139984</v>
      </c>
      <c r="J270" s="33"/>
      <c r="K270" s="34"/>
      <c r="L270" s="34"/>
      <c r="M270" s="32"/>
      <c r="N270" s="32"/>
    </row>
    <row r="271" spans="1:14" ht="45" x14ac:dyDescent="0.25">
      <c r="A271" s="164">
        <v>252</v>
      </c>
      <c r="B271" s="207" t="s">
        <v>124</v>
      </c>
      <c r="C271" s="12" t="s">
        <v>68</v>
      </c>
      <c r="D271" s="25" t="s">
        <v>69</v>
      </c>
      <c r="E271" s="112" t="s">
        <v>8</v>
      </c>
      <c r="F271" s="20">
        <f>(36.78+50.69+59.25+(15+47.32)*2)*2.2</f>
        <v>596.99200000000008</v>
      </c>
      <c r="G271" s="13">
        <v>8.64</v>
      </c>
      <c r="H271" s="13">
        <f t="shared" si="67"/>
        <v>10.581408000000001</v>
      </c>
      <c r="I271" s="13">
        <f t="shared" si="68"/>
        <v>6317.0159247360016</v>
      </c>
      <c r="J271" s="33"/>
      <c r="K271" s="34"/>
      <c r="L271" s="34"/>
      <c r="M271" s="32"/>
      <c r="N271" s="32"/>
    </row>
    <row r="272" spans="1:14" ht="60" x14ac:dyDescent="0.25">
      <c r="A272" s="164">
        <v>253</v>
      </c>
      <c r="B272" s="207"/>
      <c r="C272" s="12" t="s">
        <v>70</v>
      </c>
      <c r="D272" s="25" t="s">
        <v>71</v>
      </c>
      <c r="E272" s="112" t="s">
        <v>8</v>
      </c>
      <c r="F272" s="20">
        <f>F271</f>
        <v>596.99200000000008</v>
      </c>
      <c r="G272" s="13">
        <v>4.21</v>
      </c>
      <c r="H272" s="13">
        <f t="shared" si="67"/>
        <v>5.1559869999999997</v>
      </c>
      <c r="I272" s="13">
        <f t="shared" si="68"/>
        <v>3078.082991104</v>
      </c>
      <c r="J272" s="33"/>
      <c r="K272" s="34"/>
      <c r="L272" s="34"/>
      <c r="M272" s="32"/>
      <c r="N272" s="32"/>
    </row>
    <row r="273" spans="1:14" ht="75" x14ac:dyDescent="0.25">
      <c r="A273" s="164">
        <v>254</v>
      </c>
      <c r="B273" s="207"/>
      <c r="C273" s="12" t="s">
        <v>72</v>
      </c>
      <c r="D273" s="163" t="s">
        <v>73</v>
      </c>
      <c r="E273" s="112" t="s">
        <v>8</v>
      </c>
      <c r="F273" s="20">
        <f>4.05*2.2+4.05*1.6+3.9*2.2</f>
        <v>23.97</v>
      </c>
      <c r="G273" s="13">
        <v>22.57</v>
      </c>
      <c r="H273" s="13">
        <f t="shared" si="67"/>
        <v>27.641479</v>
      </c>
      <c r="I273" s="13">
        <f t="shared" si="68"/>
        <v>662.56625163000001</v>
      </c>
      <c r="J273" s="33"/>
      <c r="K273" s="34"/>
      <c r="L273" s="34"/>
      <c r="M273" s="32"/>
      <c r="N273" s="32"/>
    </row>
    <row r="274" spans="1:14" ht="45" customHeight="1" x14ac:dyDescent="0.25">
      <c r="A274" s="164">
        <v>255</v>
      </c>
      <c r="B274" s="208" t="s">
        <v>113</v>
      </c>
      <c r="C274" s="208"/>
      <c r="D274" s="208"/>
      <c r="E274" s="208"/>
      <c r="F274" s="208"/>
      <c r="G274" s="208"/>
      <c r="H274" s="208"/>
      <c r="I274" s="30">
        <f>SUM(I275:I329)</f>
        <v>28951.202756505001</v>
      </c>
      <c r="J274" s="33"/>
      <c r="K274" s="34"/>
      <c r="L274" s="34"/>
      <c r="M274" s="32"/>
      <c r="N274" s="32"/>
    </row>
    <row r="275" spans="1:14" ht="45" customHeight="1" x14ac:dyDescent="0.25">
      <c r="A275" s="164">
        <v>256</v>
      </c>
      <c r="B275" s="112"/>
      <c r="C275" s="150" t="s">
        <v>155</v>
      </c>
      <c r="D275" s="151" t="s">
        <v>154</v>
      </c>
      <c r="E275" s="112" t="s">
        <v>8</v>
      </c>
      <c r="F275" s="112">
        <v>2.88</v>
      </c>
      <c r="G275" s="112">
        <v>312.06</v>
      </c>
      <c r="H275" s="13">
        <f t="shared" ref="H275" si="69">G275+G275*B$18</f>
        <v>382.17988200000002</v>
      </c>
      <c r="I275" s="13">
        <f t="shared" ref="I275" si="70">H275*F275</f>
        <v>1100.6780601600001</v>
      </c>
      <c r="J275" s="33"/>
      <c r="K275" s="34"/>
      <c r="L275" s="34"/>
      <c r="M275" s="32"/>
      <c r="N275" s="32"/>
    </row>
    <row r="276" spans="1:14" ht="75" x14ac:dyDescent="0.25">
      <c r="A276" s="164">
        <v>257</v>
      </c>
      <c r="B276" s="209" t="s">
        <v>104</v>
      </c>
      <c r="C276" s="112" t="s">
        <v>150</v>
      </c>
      <c r="D276" s="163" t="s">
        <v>147</v>
      </c>
      <c r="E276" s="112" t="s">
        <v>146</v>
      </c>
      <c r="F276" s="112">
        <v>6</v>
      </c>
      <c r="G276" s="112">
        <v>12</v>
      </c>
      <c r="H276" s="13">
        <f t="shared" ref="H276:H277" si="71">G276+G276*B$18</f>
        <v>14.696400000000001</v>
      </c>
      <c r="I276" s="13">
        <f t="shared" ref="I276:I277" si="72">H276*F276</f>
        <v>88.178400000000011</v>
      </c>
      <c r="J276" s="33"/>
      <c r="K276" s="34"/>
      <c r="L276" s="34"/>
      <c r="M276" s="32"/>
      <c r="N276" s="32"/>
    </row>
    <row r="277" spans="1:14" ht="45" customHeight="1" x14ac:dyDescent="0.25">
      <c r="A277" s="164">
        <v>258</v>
      </c>
      <c r="B277" s="209"/>
      <c r="C277" s="112" t="s">
        <v>149</v>
      </c>
      <c r="D277" s="163" t="s">
        <v>148</v>
      </c>
      <c r="E277" s="112" t="s">
        <v>19</v>
      </c>
      <c r="F277" s="112">
        <v>6</v>
      </c>
      <c r="G277" s="112">
        <v>6.52</v>
      </c>
      <c r="H277" s="13">
        <f t="shared" si="71"/>
        <v>7.9850439999999994</v>
      </c>
      <c r="I277" s="13">
        <f t="shared" si="72"/>
        <v>47.910263999999998</v>
      </c>
      <c r="J277" s="33"/>
      <c r="K277" s="34"/>
      <c r="L277" s="34"/>
      <c r="M277" s="32"/>
      <c r="N277" s="32"/>
    </row>
    <row r="278" spans="1:14" ht="45" x14ac:dyDescent="0.25">
      <c r="A278" s="164">
        <v>259</v>
      </c>
      <c r="B278" s="207" t="s">
        <v>114</v>
      </c>
      <c r="C278" s="12" t="s">
        <v>68</v>
      </c>
      <c r="D278" s="25" t="s">
        <v>69</v>
      </c>
      <c r="E278" s="112" t="s">
        <v>8</v>
      </c>
      <c r="F278" s="20">
        <f>28.6*2.8-F280</f>
        <v>67.989999999999995</v>
      </c>
      <c r="G278" s="13">
        <v>8.64</v>
      </c>
      <c r="H278" s="13">
        <f t="shared" ref="H278:H324" si="73">G278+G278*B$18</f>
        <v>10.581408000000001</v>
      </c>
      <c r="I278" s="13">
        <f t="shared" ref="I278:I324" si="74">H278*F278</f>
        <v>719.42992992000006</v>
      </c>
      <c r="J278" s="33"/>
      <c r="K278" s="34"/>
      <c r="L278" s="34"/>
      <c r="M278" s="32"/>
      <c r="N278" s="32"/>
    </row>
    <row r="279" spans="1:14" ht="60" x14ac:dyDescent="0.25">
      <c r="A279" s="164">
        <v>260</v>
      </c>
      <c r="B279" s="207"/>
      <c r="C279" s="12" t="s">
        <v>70</v>
      </c>
      <c r="D279" s="25" t="s">
        <v>71</v>
      </c>
      <c r="E279" s="112" t="s">
        <v>8</v>
      </c>
      <c r="F279" s="20">
        <f>F278</f>
        <v>67.989999999999995</v>
      </c>
      <c r="G279" s="13">
        <v>4.21</v>
      </c>
      <c r="H279" s="13">
        <f t="shared" si="73"/>
        <v>5.1559869999999997</v>
      </c>
      <c r="I279" s="13">
        <f t="shared" si="74"/>
        <v>350.55555612999996</v>
      </c>
      <c r="J279" s="33"/>
      <c r="K279" s="34"/>
      <c r="L279" s="34"/>
      <c r="M279" s="32"/>
      <c r="N279" s="32"/>
    </row>
    <row r="280" spans="1:14" ht="75" x14ac:dyDescent="0.25">
      <c r="A280" s="164">
        <v>261</v>
      </c>
      <c r="B280" s="207"/>
      <c r="C280" s="12" t="s">
        <v>72</v>
      </c>
      <c r="D280" s="163" t="s">
        <v>73</v>
      </c>
      <c r="E280" s="112" t="s">
        <v>8</v>
      </c>
      <c r="F280" s="20">
        <f>4*1.05*1.55+2*1.5*1.3+0.8*2.1</f>
        <v>12.09</v>
      </c>
      <c r="G280" s="13">
        <v>22.57</v>
      </c>
      <c r="H280" s="13">
        <f t="shared" si="73"/>
        <v>27.641479</v>
      </c>
      <c r="I280" s="13">
        <f t="shared" si="74"/>
        <v>334.18548111000001</v>
      </c>
      <c r="J280" s="33"/>
      <c r="K280" s="34"/>
      <c r="L280" s="34"/>
      <c r="M280" s="32"/>
      <c r="N280" s="32"/>
    </row>
    <row r="281" spans="1:14" ht="60" x14ac:dyDescent="0.25">
      <c r="A281" s="164">
        <v>262</v>
      </c>
      <c r="B281" s="207"/>
      <c r="C281" s="160" t="s">
        <v>74</v>
      </c>
      <c r="D281" s="163" t="s">
        <v>75</v>
      </c>
      <c r="E281" s="112" t="s">
        <v>8</v>
      </c>
      <c r="F281" s="20">
        <v>50.22</v>
      </c>
      <c r="G281" s="13">
        <v>14.14</v>
      </c>
      <c r="H281" s="13">
        <f t="shared" si="73"/>
        <v>17.317258000000002</v>
      </c>
      <c r="I281" s="13">
        <f t="shared" si="74"/>
        <v>869.67269676000012</v>
      </c>
      <c r="J281" s="33"/>
      <c r="K281" s="34"/>
      <c r="L281" s="34"/>
      <c r="M281" s="32"/>
      <c r="N281" s="32"/>
    </row>
    <row r="282" spans="1:14" ht="60" x14ac:dyDescent="0.25">
      <c r="A282" s="164">
        <v>263</v>
      </c>
      <c r="B282" s="207"/>
      <c r="C282" s="113" t="s">
        <v>76</v>
      </c>
      <c r="D282" s="42" t="s">
        <v>77</v>
      </c>
      <c r="E282" s="112" t="s">
        <v>8</v>
      </c>
      <c r="F282" s="20">
        <v>50.22</v>
      </c>
      <c r="G282" s="13">
        <v>5.28</v>
      </c>
      <c r="H282" s="13">
        <f t="shared" si="73"/>
        <v>6.4664160000000006</v>
      </c>
      <c r="I282" s="13">
        <f t="shared" si="74"/>
        <v>324.74341152</v>
      </c>
      <c r="J282" s="33"/>
      <c r="K282" s="34"/>
      <c r="L282" s="34"/>
      <c r="M282" s="32"/>
      <c r="N282" s="32"/>
    </row>
    <row r="283" spans="1:14" ht="45" x14ac:dyDescent="0.25">
      <c r="A283" s="164">
        <v>264</v>
      </c>
      <c r="B283" s="207" t="s">
        <v>115</v>
      </c>
      <c r="C283" s="12" t="s">
        <v>68</v>
      </c>
      <c r="D283" s="25" t="s">
        <v>69</v>
      </c>
      <c r="E283" s="112" t="s">
        <v>8</v>
      </c>
      <c r="F283" s="20">
        <f>22.45*2.8-F285</f>
        <v>57.304999999999993</v>
      </c>
      <c r="G283" s="13">
        <v>8.64</v>
      </c>
      <c r="H283" s="13">
        <f t="shared" si="73"/>
        <v>10.581408000000001</v>
      </c>
      <c r="I283" s="13">
        <f t="shared" si="74"/>
        <v>606.36758543999997</v>
      </c>
      <c r="J283" s="33"/>
      <c r="K283" s="34"/>
      <c r="L283" s="34"/>
      <c r="M283" s="32"/>
      <c r="N283" s="32"/>
    </row>
    <row r="284" spans="1:14" ht="60" x14ac:dyDescent="0.25">
      <c r="A284" s="164">
        <v>265</v>
      </c>
      <c r="B284" s="207"/>
      <c r="C284" s="12" t="s">
        <v>70</v>
      </c>
      <c r="D284" s="25" t="s">
        <v>71</v>
      </c>
      <c r="E284" s="112" t="s">
        <v>8</v>
      </c>
      <c r="F284" s="20">
        <f>F283</f>
        <v>57.304999999999993</v>
      </c>
      <c r="G284" s="13">
        <v>4.21</v>
      </c>
      <c r="H284" s="13">
        <f t="shared" si="73"/>
        <v>5.1559869999999997</v>
      </c>
      <c r="I284" s="13">
        <f t="shared" si="74"/>
        <v>295.46383503499993</v>
      </c>
      <c r="J284" s="33"/>
      <c r="K284" s="34"/>
      <c r="L284" s="34"/>
      <c r="M284" s="32"/>
      <c r="N284" s="32"/>
    </row>
    <row r="285" spans="1:14" ht="75" x14ac:dyDescent="0.25">
      <c r="A285" s="164">
        <v>266</v>
      </c>
      <c r="B285" s="207"/>
      <c r="C285" s="12" t="s">
        <v>72</v>
      </c>
      <c r="D285" s="163" t="s">
        <v>73</v>
      </c>
      <c r="E285" s="112" t="s">
        <v>8</v>
      </c>
      <c r="F285" s="20">
        <f>2*1.25*1.55+0.8*2.1</f>
        <v>5.5549999999999997</v>
      </c>
      <c r="G285" s="13">
        <v>22.57</v>
      </c>
      <c r="H285" s="13">
        <f t="shared" si="73"/>
        <v>27.641479</v>
      </c>
      <c r="I285" s="13">
        <f t="shared" si="74"/>
        <v>153.54841584499999</v>
      </c>
      <c r="J285" s="33"/>
      <c r="K285" s="34"/>
      <c r="L285" s="34"/>
      <c r="M285" s="32"/>
      <c r="N285" s="32"/>
    </row>
    <row r="286" spans="1:14" ht="60" x14ac:dyDescent="0.25">
      <c r="A286" s="164">
        <v>267</v>
      </c>
      <c r="B286" s="207"/>
      <c r="C286" s="160" t="s">
        <v>74</v>
      </c>
      <c r="D286" s="163" t="s">
        <v>75</v>
      </c>
      <c r="E286" s="112" t="s">
        <v>8</v>
      </c>
      <c r="F286" s="20">
        <v>24.8</v>
      </c>
      <c r="G286" s="13">
        <v>14.14</v>
      </c>
      <c r="H286" s="13">
        <f t="shared" si="73"/>
        <v>17.317258000000002</v>
      </c>
      <c r="I286" s="13">
        <f t="shared" si="74"/>
        <v>429.46799840000006</v>
      </c>
      <c r="J286" s="33"/>
      <c r="K286" s="34"/>
      <c r="L286" s="34"/>
      <c r="M286" s="32"/>
      <c r="N286" s="32"/>
    </row>
    <row r="287" spans="1:14" ht="60" x14ac:dyDescent="0.25">
      <c r="A287" s="164">
        <v>268</v>
      </c>
      <c r="B287" s="207"/>
      <c r="C287" s="113" t="s">
        <v>76</v>
      </c>
      <c r="D287" s="42" t="s">
        <v>77</v>
      </c>
      <c r="E287" s="112" t="s">
        <v>8</v>
      </c>
      <c r="F287" s="20">
        <v>24.8</v>
      </c>
      <c r="G287" s="13">
        <v>5.28</v>
      </c>
      <c r="H287" s="13">
        <f t="shared" si="73"/>
        <v>6.4664160000000006</v>
      </c>
      <c r="I287" s="13">
        <f t="shared" si="74"/>
        <v>160.36711680000002</v>
      </c>
      <c r="J287" s="33"/>
      <c r="K287" s="34"/>
      <c r="L287" s="34"/>
      <c r="M287" s="32"/>
      <c r="N287" s="32"/>
    </row>
    <row r="288" spans="1:14" ht="45" x14ac:dyDescent="0.25">
      <c r="A288" s="164">
        <v>269</v>
      </c>
      <c r="B288" s="207" t="s">
        <v>103</v>
      </c>
      <c r="C288" s="12" t="s">
        <v>68</v>
      </c>
      <c r="D288" s="25" t="s">
        <v>69</v>
      </c>
      <c r="E288" s="112" t="s">
        <v>8</v>
      </c>
      <c r="F288" s="20">
        <f>22.45*2.8-F290</f>
        <v>58.85499999999999</v>
      </c>
      <c r="G288" s="13">
        <v>8.64</v>
      </c>
      <c r="H288" s="13">
        <f t="shared" si="73"/>
        <v>10.581408000000001</v>
      </c>
      <c r="I288" s="13">
        <f t="shared" si="74"/>
        <v>622.76876784000001</v>
      </c>
      <c r="J288" s="33"/>
      <c r="K288" s="34"/>
      <c r="L288" s="34"/>
      <c r="M288" s="32"/>
      <c r="N288" s="32"/>
    </row>
    <row r="289" spans="1:14" ht="60" x14ac:dyDescent="0.25">
      <c r="A289" s="164">
        <v>270</v>
      </c>
      <c r="B289" s="207"/>
      <c r="C289" s="12" t="s">
        <v>70</v>
      </c>
      <c r="D289" s="25" t="s">
        <v>71</v>
      </c>
      <c r="E289" s="112" t="s">
        <v>8</v>
      </c>
      <c r="F289" s="20">
        <f>F288</f>
        <v>58.85499999999999</v>
      </c>
      <c r="G289" s="13">
        <v>4.21</v>
      </c>
      <c r="H289" s="13">
        <f t="shared" si="73"/>
        <v>5.1559869999999997</v>
      </c>
      <c r="I289" s="13">
        <f t="shared" si="74"/>
        <v>303.45561488499993</v>
      </c>
      <c r="J289" s="33"/>
      <c r="K289" s="34"/>
      <c r="L289" s="34"/>
      <c r="M289" s="32"/>
      <c r="N289" s="32"/>
    </row>
    <row r="290" spans="1:14" ht="75" x14ac:dyDescent="0.25">
      <c r="A290" s="164">
        <v>271</v>
      </c>
      <c r="B290" s="207"/>
      <c r="C290" s="12" t="s">
        <v>72</v>
      </c>
      <c r="D290" s="163" t="s">
        <v>73</v>
      </c>
      <c r="E290" s="112" t="s">
        <v>8</v>
      </c>
      <c r="F290" s="20">
        <f>1.5*1.55+0.8*2.1</f>
        <v>4.0050000000000008</v>
      </c>
      <c r="G290" s="13">
        <v>22.57</v>
      </c>
      <c r="H290" s="13">
        <f t="shared" si="73"/>
        <v>27.641479</v>
      </c>
      <c r="I290" s="13">
        <f t="shared" si="74"/>
        <v>110.70412339500002</v>
      </c>
      <c r="J290" s="33"/>
      <c r="K290" s="34"/>
      <c r="L290" s="34"/>
      <c r="M290" s="32"/>
      <c r="N290" s="32"/>
    </row>
    <row r="291" spans="1:14" ht="60" x14ac:dyDescent="0.25">
      <c r="A291" s="164">
        <v>272</v>
      </c>
      <c r="B291" s="207"/>
      <c r="C291" s="160" t="s">
        <v>74</v>
      </c>
      <c r="D291" s="163" t="s">
        <v>75</v>
      </c>
      <c r="E291" s="112" t="s">
        <v>8</v>
      </c>
      <c r="F291" s="20">
        <v>24.8</v>
      </c>
      <c r="G291" s="13">
        <v>14.14</v>
      </c>
      <c r="H291" s="13">
        <f t="shared" si="73"/>
        <v>17.317258000000002</v>
      </c>
      <c r="I291" s="13">
        <f t="shared" si="74"/>
        <v>429.46799840000006</v>
      </c>
      <c r="J291" s="33"/>
      <c r="K291" s="34"/>
      <c r="L291" s="34"/>
      <c r="M291" s="32"/>
      <c r="N291" s="32"/>
    </row>
    <row r="292" spans="1:14" ht="60" x14ac:dyDescent="0.25">
      <c r="A292" s="164">
        <v>273</v>
      </c>
      <c r="B292" s="207"/>
      <c r="C292" s="113" t="s">
        <v>76</v>
      </c>
      <c r="D292" s="42" t="s">
        <v>77</v>
      </c>
      <c r="E292" s="112" t="s">
        <v>8</v>
      </c>
      <c r="F292" s="20">
        <v>24.8</v>
      </c>
      <c r="G292" s="13">
        <v>5.28</v>
      </c>
      <c r="H292" s="13">
        <f t="shared" si="73"/>
        <v>6.4664160000000006</v>
      </c>
      <c r="I292" s="13">
        <f t="shared" si="74"/>
        <v>160.36711680000002</v>
      </c>
      <c r="J292" s="33"/>
      <c r="K292" s="34"/>
      <c r="L292" s="34"/>
      <c r="M292" s="32"/>
      <c r="N292" s="32"/>
    </row>
    <row r="293" spans="1:14" ht="45" x14ac:dyDescent="0.25">
      <c r="A293" s="164">
        <v>274</v>
      </c>
      <c r="B293" s="207" t="s">
        <v>116</v>
      </c>
      <c r="C293" s="12" t="s">
        <v>68</v>
      </c>
      <c r="D293" s="25" t="s">
        <v>69</v>
      </c>
      <c r="E293" s="112" t="s">
        <v>8</v>
      </c>
      <c r="F293" s="20">
        <f>28.15*2.8-F295</f>
        <v>67.059999999999988</v>
      </c>
      <c r="G293" s="13">
        <v>8.64</v>
      </c>
      <c r="H293" s="13">
        <f t="shared" si="73"/>
        <v>10.581408000000001</v>
      </c>
      <c r="I293" s="13">
        <f t="shared" si="74"/>
        <v>709.58922047999999</v>
      </c>
      <c r="J293" s="33"/>
      <c r="K293" s="34"/>
      <c r="L293" s="34"/>
      <c r="M293" s="32"/>
      <c r="N293" s="32"/>
    </row>
    <row r="294" spans="1:14" ht="60" x14ac:dyDescent="0.25">
      <c r="A294" s="164">
        <v>275</v>
      </c>
      <c r="B294" s="207"/>
      <c r="C294" s="12" t="s">
        <v>70</v>
      </c>
      <c r="D294" s="25" t="s">
        <v>71</v>
      </c>
      <c r="E294" s="112" t="s">
        <v>8</v>
      </c>
      <c r="F294" s="20">
        <f>F293</f>
        <v>67.059999999999988</v>
      </c>
      <c r="G294" s="13">
        <v>4.21</v>
      </c>
      <c r="H294" s="13">
        <f t="shared" si="73"/>
        <v>5.1559869999999997</v>
      </c>
      <c r="I294" s="13">
        <f t="shared" si="74"/>
        <v>345.7604882199999</v>
      </c>
      <c r="J294" s="33"/>
      <c r="K294" s="34"/>
      <c r="L294" s="34"/>
      <c r="M294" s="32"/>
      <c r="N294" s="32"/>
    </row>
    <row r="295" spans="1:14" ht="75" x14ac:dyDescent="0.25">
      <c r="A295" s="164">
        <v>276</v>
      </c>
      <c r="B295" s="207"/>
      <c r="C295" s="12" t="s">
        <v>72</v>
      </c>
      <c r="D295" s="163" t="s">
        <v>73</v>
      </c>
      <c r="E295" s="112" t="s">
        <v>8</v>
      </c>
      <c r="F295" s="20">
        <f>2*1.8*2.8+0.8*2.1</f>
        <v>11.76</v>
      </c>
      <c r="G295" s="13">
        <v>22.57</v>
      </c>
      <c r="H295" s="13">
        <f t="shared" si="73"/>
        <v>27.641479</v>
      </c>
      <c r="I295" s="13">
        <f t="shared" si="74"/>
        <v>325.06379304000001</v>
      </c>
      <c r="J295" s="33"/>
      <c r="K295" s="34"/>
      <c r="L295" s="34"/>
      <c r="M295" s="32"/>
      <c r="N295" s="32"/>
    </row>
    <row r="296" spans="1:14" ht="60" x14ac:dyDescent="0.25">
      <c r="A296" s="164">
        <v>277</v>
      </c>
      <c r="B296" s="207"/>
      <c r="C296" s="160" t="s">
        <v>74</v>
      </c>
      <c r="D296" s="163" t="s">
        <v>75</v>
      </c>
      <c r="E296" s="112" t="s">
        <v>8</v>
      </c>
      <c r="F296" s="20">
        <f>49.52</f>
        <v>49.52</v>
      </c>
      <c r="G296" s="13">
        <v>14.14</v>
      </c>
      <c r="H296" s="13">
        <f t="shared" si="73"/>
        <v>17.317258000000002</v>
      </c>
      <c r="I296" s="13">
        <f t="shared" si="74"/>
        <v>857.55061616000023</v>
      </c>
      <c r="J296" s="33"/>
      <c r="K296" s="34"/>
      <c r="L296" s="34"/>
      <c r="M296" s="32"/>
      <c r="N296" s="32"/>
    </row>
    <row r="297" spans="1:14" ht="60" x14ac:dyDescent="0.25">
      <c r="A297" s="164">
        <v>278</v>
      </c>
      <c r="B297" s="207"/>
      <c r="C297" s="113" t="s">
        <v>76</v>
      </c>
      <c r="D297" s="42" t="s">
        <v>77</v>
      </c>
      <c r="E297" s="112" t="s">
        <v>8</v>
      </c>
      <c r="F297" s="20">
        <v>49.52</v>
      </c>
      <c r="G297" s="13">
        <v>5.28</v>
      </c>
      <c r="H297" s="13">
        <f t="shared" si="73"/>
        <v>6.4664160000000006</v>
      </c>
      <c r="I297" s="13">
        <f t="shared" si="74"/>
        <v>320.21692032000004</v>
      </c>
      <c r="J297" s="33"/>
      <c r="K297" s="34"/>
      <c r="L297" s="34"/>
      <c r="M297" s="32"/>
      <c r="N297" s="32"/>
    </row>
    <row r="298" spans="1:14" ht="45" x14ac:dyDescent="0.25">
      <c r="A298" s="164">
        <v>279</v>
      </c>
      <c r="B298" s="207" t="s">
        <v>117</v>
      </c>
      <c r="C298" s="12" t="s">
        <v>68</v>
      </c>
      <c r="D298" s="25" t="s">
        <v>69</v>
      </c>
      <c r="E298" s="112" t="s">
        <v>8</v>
      </c>
      <c r="F298" s="20">
        <f>28.15*2.8-F300</f>
        <v>67.059999999999988</v>
      </c>
      <c r="G298" s="13">
        <v>8.64</v>
      </c>
      <c r="H298" s="13">
        <f t="shared" si="73"/>
        <v>10.581408000000001</v>
      </c>
      <c r="I298" s="13">
        <f t="shared" si="74"/>
        <v>709.58922047999999</v>
      </c>
      <c r="J298" s="33"/>
      <c r="K298" s="34"/>
      <c r="L298" s="34"/>
      <c r="M298" s="32"/>
      <c r="N298" s="32"/>
    </row>
    <row r="299" spans="1:14" ht="60" x14ac:dyDescent="0.25">
      <c r="A299" s="164">
        <v>280</v>
      </c>
      <c r="B299" s="207"/>
      <c r="C299" s="12" t="s">
        <v>70</v>
      </c>
      <c r="D299" s="25" t="s">
        <v>71</v>
      </c>
      <c r="E299" s="112" t="s">
        <v>8</v>
      </c>
      <c r="F299" s="20">
        <f>F298</f>
        <v>67.059999999999988</v>
      </c>
      <c r="G299" s="13">
        <v>4.21</v>
      </c>
      <c r="H299" s="13">
        <f t="shared" si="73"/>
        <v>5.1559869999999997</v>
      </c>
      <c r="I299" s="13">
        <f t="shared" si="74"/>
        <v>345.7604882199999</v>
      </c>
      <c r="J299" s="33"/>
      <c r="K299" s="34"/>
      <c r="L299" s="34"/>
      <c r="M299" s="32"/>
      <c r="N299" s="32"/>
    </row>
    <row r="300" spans="1:14" ht="75" x14ac:dyDescent="0.25">
      <c r="A300" s="164">
        <v>281</v>
      </c>
      <c r="B300" s="207"/>
      <c r="C300" s="12" t="s">
        <v>72</v>
      </c>
      <c r="D300" s="163" t="s">
        <v>73</v>
      </c>
      <c r="E300" s="112" t="s">
        <v>8</v>
      </c>
      <c r="F300" s="20">
        <f>2*1.8*2.8+0.8*2.1</f>
        <v>11.76</v>
      </c>
      <c r="G300" s="13">
        <v>22.57</v>
      </c>
      <c r="H300" s="13">
        <f t="shared" si="73"/>
        <v>27.641479</v>
      </c>
      <c r="I300" s="13">
        <f t="shared" si="74"/>
        <v>325.06379304000001</v>
      </c>
      <c r="J300" s="33"/>
      <c r="K300" s="34"/>
      <c r="L300" s="34"/>
      <c r="M300" s="32"/>
      <c r="N300" s="32"/>
    </row>
    <row r="301" spans="1:14" ht="60" x14ac:dyDescent="0.25">
      <c r="A301" s="164">
        <v>282</v>
      </c>
      <c r="B301" s="207"/>
      <c r="C301" s="160" t="s">
        <v>74</v>
      </c>
      <c r="D301" s="163" t="s">
        <v>75</v>
      </c>
      <c r="E301" s="112" t="s">
        <v>8</v>
      </c>
      <c r="F301" s="20">
        <f>49.52</f>
        <v>49.52</v>
      </c>
      <c r="G301" s="13">
        <v>14.14</v>
      </c>
      <c r="H301" s="13">
        <f t="shared" si="73"/>
        <v>17.317258000000002</v>
      </c>
      <c r="I301" s="13">
        <f t="shared" si="74"/>
        <v>857.55061616000023</v>
      </c>
      <c r="J301" s="33"/>
      <c r="K301" s="34"/>
      <c r="L301" s="34"/>
      <c r="M301" s="32"/>
      <c r="N301" s="32"/>
    </row>
    <row r="302" spans="1:14" ht="60" x14ac:dyDescent="0.25">
      <c r="A302" s="164">
        <v>283</v>
      </c>
      <c r="B302" s="207"/>
      <c r="C302" s="113" t="s">
        <v>76</v>
      </c>
      <c r="D302" s="42" t="s">
        <v>77</v>
      </c>
      <c r="E302" s="112" t="s">
        <v>8</v>
      </c>
      <c r="F302" s="20">
        <v>49.52</v>
      </c>
      <c r="G302" s="13">
        <v>5.28</v>
      </c>
      <c r="H302" s="13">
        <f t="shared" si="73"/>
        <v>6.4664160000000006</v>
      </c>
      <c r="I302" s="13">
        <f t="shared" si="74"/>
        <v>320.21692032000004</v>
      </c>
      <c r="J302" s="33"/>
      <c r="K302" s="34"/>
      <c r="L302" s="34"/>
      <c r="M302" s="32"/>
      <c r="N302" s="32"/>
    </row>
    <row r="303" spans="1:14" ht="45" x14ac:dyDescent="0.25">
      <c r="A303" s="164">
        <v>284</v>
      </c>
      <c r="B303" s="207" t="s">
        <v>118</v>
      </c>
      <c r="C303" s="12" t="s">
        <v>68</v>
      </c>
      <c r="D303" s="25" t="s">
        <v>69</v>
      </c>
      <c r="E303" s="112" t="s">
        <v>8</v>
      </c>
      <c r="F303" s="20">
        <f>15.2*2.8-F305</f>
        <v>36.399999999999991</v>
      </c>
      <c r="G303" s="13">
        <v>8.64</v>
      </c>
      <c r="H303" s="13">
        <f t="shared" si="73"/>
        <v>10.581408000000001</v>
      </c>
      <c r="I303" s="13">
        <f t="shared" si="74"/>
        <v>385.16325119999999</v>
      </c>
      <c r="J303" s="33"/>
      <c r="K303" s="34"/>
      <c r="L303" s="34"/>
      <c r="M303" s="32"/>
      <c r="N303" s="32"/>
    </row>
    <row r="304" spans="1:14" ht="60" x14ac:dyDescent="0.25">
      <c r="A304" s="164">
        <v>285</v>
      </c>
      <c r="B304" s="207"/>
      <c r="C304" s="12" t="s">
        <v>70</v>
      </c>
      <c r="D304" s="25" t="s">
        <v>71</v>
      </c>
      <c r="E304" s="112" t="s">
        <v>8</v>
      </c>
      <c r="F304" s="20">
        <f>F303</f>
        <v>36.399999999999991</v>
      </c>
      <c r="G304" s="13">
        <v>4.21</v>
      </c>
      <c r="H304" s="13">
        <f t="shared" si="73"/>
        <v>5.1559869999999997</v>
      </c>
      <c r="I304" s="13">
        <f t="shared" si="74"/>
        <v>187.67792679999994</v>
      </c>
      <c r="J304" s="33"/>
      <c r="K304" s="34"/>
      <c r="L304" s="34"/>
      <c r="M304" s="32"/>
      <c r="N304" s="32"/>
    </row>
    <row r="305" spans="1:14" ht="75" x14ac:dyDescent="0.25">
      <c r="A305" s="164">
        <v>286</v>
      </c>
      <c r="B305" s="207"/>
      <c r="C305" s="12" t="s">
        <v>72</v>
      </c>
      <c r="D305" s="163" t="s">
        <v>73</v>
      </c>
      <c r="E305" s="112" t="s">
        <v>8</v>
      </c>
      <c r="F305" s="20">
        <f>2.8*1.6+0.8*2.1</f>
        <v>6.16</v>
      </c>
      <c r="G305" s="13">
        <v>22.57</v>
      </c>
      <c r="H305" s="13">
        <f t="shared" si="73"/>
        <v>27.641479</v>
      </c>
      <c r="I305" s="13">
        <f t="shared" si="74"/>
        <v>170.27151064</v>
      </c>
      <c r="J305" s="33"/>
      <c r="K305" s="34"/>
      <c r="L305" s="34"/>
      <c r="M305" s="32"/>
      <c r="N305" s="32"/>
    </row>
    <row r="306" spans="1:14" ht="60" x14ac:dyDescent="0.25">
      <c r="A306" s="164">
        <v>287</v>
      </c>
      <c r="B306" s="207"/>
      <c r="C306" s="160" t="s">
        <v>74</v>
      </c>
      <c r="D306" s="163" t="s">
        <v>75</v>
      </c>
      <c r="E306" s="112" t="s">
        <v>8</v>
      </c>
      <c r="F306" s="20">
        <f>14.23</f>
        <v>14.23</v>
      </c>
      <c r="G306" s="13">
        <v>14.14</v>
      </c>
      <c r="H306" s="13">
        <f t="shared" si="73"/>
        <v>17.317258000000002</v>
      </c>
      <c r="I306" s="13">
        <f t="shared" si="74"/>
        <v>246.42458134000003</v>
      </c>
      <c r="J306" s="33"/>
      <c r="K306" s="34"/>
      <c r="L306" s="34"/>
      <c r="M306" s="32"/>
      <c r="N306" s="32"/>
    </row>
    <row r="307" spans="1:14" ht="60" x14ac:dyDescent="0.25">
      <c r="A307" s="164">
        <v>288</v>
      </c>
      <c r="B307" s="207"/>
      <c r="C307" s="113" t="s">
        <v>76</v>
      </c>
      <c r="D307" s="42" t="s">
        <v>77</v>
      </c>
      <c r="E307" s="112" t="s">
        <v>8</v>
      </c>
      <c r="F307" s="20">
        <v>14.23</v>
      </c>
      <c r="G307" s="13">
        <v>5.28</v>
      </c>
      <c r="H307" s="13">
        <f t="shared" si="73"/>
        <v>6.4664160000000006</v>
      </c>
      <c r="I307" s="13">
        <f t="shared" si="74"/>
        <v>92.017099680000015</v>
      </c>
      <c r="J307" s="33"/>
      <c r="K307" s="34"/>
      <c r="L307" s="34"/>
      <c r="M307" s="32"/>
      <c r="N307" s="32"/>
    </row>
    <row r="308" spans="1:14" ht="75" x14ac:dyDescent="0.25">
      <c r="A308" s="164">
        <v>289</v>
      </c>
      <c r="B308" s="207" t="s">
        <v>119</v>
      </c>
      <c r="C308" s="12" t="s">
        <v>72</v>
      </c>
      <c r="D308" s="163" t="s">
        <v>73</v>
      </c>
      <c r="E308" s="112" t="s">
        <v>8</v>
      </c>
      <c r="F308" s="20">
        <f>2*0.5*0.7+0.6*2.1</f>
        <v>1.96</v>
      </c>
      <c r="G308" s="13">
        <v>22.57</v>
      </c>
      <c r="H308" s="13">
        <f t="shared" si="73"/>
        <v>27.641479</v>
      </c>
      <c r="I308" s="13">
        <f t="shared" si="74"/>
        <v>54.177298839999999</v>
      </c>
      <c r="J308" s="33"/>
      <c r="K308" s="34"/>
      <c r="L308" s="34"/>
      <c r="M308" s="32"/>
      <c r="N308" s="32"/>
    </row>
    <row r="309" spans="1:14" ht="60" x14ac:dyDescent="0.25">
      <c r="A309" s="164">
        <v>290</v>
      </c>
      <c r="B309" s="207"/>
      <c r="C309" s="160" t="s">
        <v>74</v>
      </c>
      <c r="D309" s="163" t="s">
        <v>75</v>
      </c>
      <c r="E309" s="112" t="s">
        <v>8</v>
      </c>
      <c r="F309" s="20">
        <v>9.56</v>
      </c>
      <c r="G309" s="13">
        <v>14.14</v>
      </c>
      <c r="H309" s="13">
        <f t="shared" si="73"/>
        <v>17.317258000000002</v>
      </c>
      <c r="I309" s="13">
        <f t="shared" si="74"/>
        <v>165.55298648000004</v>
      </c>
      <c r="J309" s="33"/>
      <c r="K309" s="34"/>
      <c r="L309" s="34"/>
      <c r="M309" s="32"/>
      <c r="N309" s="32"/>
    </row>
    <row r="310" spans="1:14" ht="60" x14ac:dyDescent="0.25">
      <c r="A310" s="164">
        <v>291</v>
      </c>
      <c r="B310" s="207"/>
      <c r="C310" s="113" t="s">
        <v>76</v>
      </c>
      <c r="D310" s="42" t="s">
        <v>77</v>
      </c>
      <c r="E310" s="112" t="s">
        <v>8</v>
      </c>
      <c r="F310" s="20">
        <v>9.56</v>
      </c>
      <c r="G310" s="13">
        <v>5.28</v>
      </c>
      <c r="H310" s="13">
        <f t="shared" si="73"/>
        <v>6.4664160000000006</v>
      </c>
      <c r="I310" s="13">
        <f t="shared" si="74"/>
        <v>61.818936960000009</v>
      </c>
      <c r="J310" s="33"/>
      <c r="K310" s="34"/>
      <c r="L310" s="34"/>
      <c r="M310" s="32"/>
      <c r="N310" s="32"/>
    </row>
    <row r="311" spans="1:14" ht="75" x14ac:dyDescent="0.25">
      <c r="A311" s="164">
        <v>292</v>
      </c>
      <c r="B311" s="207" t="s">
        <v>120</v>
      </c>
      <c r="C311" s="12" t="s">
        <v>72</v>
      </c>
      <c r="D311" s="163" t="s">
        <v>73</v>
      </c>
      <c r="E311" s="112" t="s">
        <v>8</v>
      </c>
      <c r="F311" s="20">
        <f>2*0.5*0.7+0.6*2.1</f>
        <v>1.96</v>
      </c>
      <c r="G311" s="13">
        <v>22.57</v>
      </c>
      <c r="H311" s="13">
        <f t="shared" si="73"/>
        <v>27.641479</v>
      </c>
      <c r="I311" s="13">
        <f t="shared" si="74"/>
        <v>54.177298839999999</v>
      </c>
      <c r="J311" s="33"/>
      <c r="K311" s="34"/>
      <c r="L311" s="34"/>
      <c r="M311" s="32"/>
      <c r="N311" s="32"/>
    </row>
    <row r="312" spans="1:14" ht="60" x14ac:dyDescent="0.25">
      <c r="A312" s="164">
        <v>293</v>
      </c>
      <c r="B312" s="207"/>
      <c r="C312" s="160" t="s">
        <v>74</v>
      </c>
      <c r="D312" s="163" t="s">
        <v>75</v>
      </c>
      <c r="E312" s="112" t="s">
        <v>8</v>
      </c>
      <c r="F312" s="20">
        <v>9.56</v>
      </c>
      <c r="G312" s="13">
        <v>14.14</v>
      </c>
      <c r="H312" s="13">
        <f t="shared" si="73"/>
        <v>17.317258000000002</v>
      </c>
      <c r="I312" s="13">
        <f t="shared" si="74"/>
        <v>165.55298648000004</v>
      </c>
      <c r="J312" s="33"/>
      <c r="K312" s="34"/>
      <c r="L312" s="34"/>
      <c r="M312" s="32"/>
      <c r="N312" s="32"/>
    </row>
    <row r="313" spans="1:14" ht="60" x14ac:dyDescent="0.25">
      <c r="A313" s="164">
        <v>294</v>
      </c>
      <c r="B313" s="207"/>
      <c r="C313" s="113" t="s">
        <v>76</v>
      </c>
      <c r="D313" s="42" t="s">
        <v>77</v>
      </c>
      <c r="E313" s="112" t="s">
        <v>8</v>
      </c>
      <c r="F313" s="20">
        <v>9.56</v>
      </c>
      <c r="G313" s="13">
        <v>5.28</v>
      </c>
      <c r="H313" s="13">
        <f t="shared" si="73"/>
        <v>6.4664160000000006</v>
      </c>
      <c r="I313" s="13">
        <f t="shared" si="74"/>
        <v>61.818936960000009</v>
      </c>
      <c r="J313" s="33"/>
      <c r="K313" s="34"/>
      <c r="L313" s="34"/>
      <c r="M313" s="32"/>
      <c r="N313" s="32"/>
    </row>
    <row r="314" spans="1:14" ht="45" x14ac:dyDescent="0.25">
      <c r="A314" s="164">
        <v>295</v>
      </c>
      <c r="B314" s="207" t="s">
        <v>121</v>
      </c>
      <c r="C314" s="12" t="s">
        <v>68</v>
      </c>
      <c r="D314" s="25" t="s">
        <v>69</v>
      </c>
      <c r="E314" s="112" t="s">
        <v>8</v>
      </c>
      <c r="F314" s="20">
        <f>8.4*2.8-F316</f>
        <v>21.14</v>
      </c>
      <c r="G314" s="13">
        <v>8.64</v>
      </c>
      <c r="H314" s="13">
        <f t="shared" si="73"/>
        <v>10.581408000000001</v>
      </c>
      <c r="I314" s="13">
        <f t="shared" si="74"/>
        <v>223.69096512000004</v>
      </c>
      <c r="J314" s="33"/>
      <c r="K314" s="34"/>
      <c r="L314" s="34"/>
      <c r="M314" s="32"/>
      <c r="N314" s="32"/>
    </row>
    <row r="315" spans="1:14" ht="60" x14ac:dyDescent="0.25">
      <c r="A315" s="164">
        <v>296</v>
      </c>
      <c r="B315" s="207"/>
      <c r="C315" s="12" t="s">
        <v>70</v>
      </c>
      <c r="D315" s="25" t="s">
        <v>71</v>
      </c>
      <c r="E315" s="112" t="s">
        <v>8</v>
      </c>
      <c r="F315" s="20">
        <f>F314</f>
        <v>21.14</v>
      </c>
      <c r="G315" s="13">
        <v>4.21</v>
      </c>
      <c r="H315" s="13">
        <f t="shared" si="73"/>
        <v>5.1559869999999997</v>
      </c>
      <c r="I315" s="13">
        <f t="shared" si="74"/>
        <v>108.99756518</v>
      </c>
      <c r="J315" s="33"/>
      <c r="K315" s="34"/>
      <c r="L315" s="34"/>
      <c r="M315" s="32"/>
      <c r="N315" s="32"/>
    </row>
    <row r="316" spans="1:14" ht="75" x14ac:dyDescent="0.25">
      <c r="A316" s="164">
        <v>297</v>
      </c>
      <c r="B316" s="207"/>
      <c r="C316" s="12" t="s">
        <v>72</v>
      </c>
      <c r="D316" s="163" t="s">
        <v>73</v>
      </c>
      <c r="E316" s="112" t="s">
        <v>8</v>
      </c>
      <c r="F316" s="20">
        <f>2*0.7*0.5+0.8*2.1</f>
        <v>2.38</v>
      </c>
      <c r="G316" s="13">
        <v>22.57</v>
      </c>
      <c r="H316" s="13">
        <f t="shared" si="73"/>
        <v>27.641479</v>
      </c>
      <c r="I316" s="13">
        <f t="shared" si="74"/>
        <v>65.786720020000004</v>
      </c>
      <c r="J316" s="33"/>
      <c r="K316" s="34"/>
      <c r="L316" s="34"/>
      <c r="M316" s="32"/>
      <c r="N316" s="32"/>
    </row>
    <row r="317" spans="1:14" ht="60" x14ac:dyDescent="0.25">
      <c r="A317" s="164">
        <v>298</v>
      </c>
      <c r="B317" s="207"/>
      <c r="C317" s="160" t="s">
        <v>74</v>
      </c>
      <c r="D317" s="163" t="s">
        <v>75</v>
      </c>
      <c r="E317" s="112" t="s">
        <v>8</v>
      </c>
      <c r="F317" s="20">
        <v>4.4000000000000004</v>
      </c>
      <c r="G317" s="13">
        <v>14.14</v>
      </c>
      <c r="H317" s="13">
        <f t="shared" si="73"/>
        <v>17.317258000000002</v>
      </c>
      <c r="I317" s="13">
        <f t="shared" si="74"/>
        <v>76.195935200000022</v>
      </c>
      <c r="J317" s="33"/>
      <c r="K317" s="34"/>
      <c r="L317" s="34"/>
      <c r="M317" s="32"/>
      <c r="N317" s="32"/>
    </row>
    <row r="318" spans="1:14" ht="60" x14ac:dyDescent="0.25">
      <c r="A318" s="164">
        <v>299</v>
      </c>
      <c r="B318" s="207"/>
      <c r="C318" s="113" t="s">
        <v>76</v>
      </c>
      <c r="D318" s="42" t="s">
        <v>77</v>
      </c>
      <c r="E318" s="112" t="s">
        <v>8</v>
      </c>
      <c r="F318" s="20">
        <v>4.4000000000000004</v>
      </c>
      <c r="G318" s="13">
        <v>5.28</v>
      </c>
      <c r="H318" s="13">
        <f t="shared" si="73"/>
        <v>6.4664160000000006</v>
      </c>
      <c r="I318" s="13">
        <f t="shared" si="74"/>
        <v>28.452230400000005</v>
      </c>
      <c r="J318" s="33"/>
      <c r="K318" s="34"/>
      <c r="L318" s="34"/>
      <c r="M318" s="32"/>
      <c r="N318" s="32"/>
    </row>
    <row r="319" spans="1:14" ht="75" x14ac:dyDescent="0.25">
      <c r="A319" s="164">
        <v>300</v>
      </c>
      <c r="B319" s="207" t="s">
        <v>123</v>
      </c>
      <c r="C319" s="12" t="s">
        <v>72</v>
      </c>
      <c r="D319" s="163" t="s">
        <v>73</v>
      </c>
      <c r="E319" s="112" t="s">
        <v>8</v>
      </c>
      <c r="F319" s="20">
        <f>1.8*1.6+2.8*1.6+0.8*2.1</f>
        <v>9.0399999999999991</v>
      </c>
      <c r="G319" s="13">
        <v>22.57</v>
      </c>
      <c r="H319" s="13">
        <f t="shared" si="73"/>
        <v>27.641479</v>
      </c>
      <c r="I319" s="13">
        <f t="shared" si="74"/>
        <v>249.87897015999997</v>
      </c>
      <c r="J319" s="33"/>
      <c r="K319" s="34"/>
      <c r="L319" s="34"/>
      <c r="M319" s="32"/>
      <c r="N319" s="32"/>
    </row>
    <row r="320" spans="1:14" ht="60" x14ac:dyDescent="0.25">
      <c r="A320" s="164">
        <v>301</v>
      </c>
      <c r="B320" s="207"/>
      <c r="C320" s="160" t="s">
        <v>74</v>
      </c>
      <c r="D320" s="163" t="s">
        <v>75</v>
      </c>
      <c r="E320" s="112" t="s">
        <v>8</v>
      </c>
      <c r="F320" s="20">
        <v>16.149999999999999</v>
      </c>
      <c r="G320" s="13">
        <v>14.14</v>
      </c>
      <c r="H320" s="13">
        <f t="shared" si="73"/>
        <v>17.317258000000002</v>
      </c>
      <c r="I320" s="13">
        <f t="shared" si="74"/>
        <v>279.6737167</v>
      </c>
      <c r="J320" s="33"/>
      <c r="K320" s="34"/>
      <c r="L320" s="34"/>
      <c r="M320" s="32"/>
      <c r="N320" s="32"/>
    </row>
    <row r="321" spans="1:14" ht="60" x14ac:dyDescent="0.25">
      <c r="A321" s="164">
        <v>302</v>
      </c>
      <c r="B321" s="207"/>
      <c r="C321" s="113" t="s">
        <v>76</v>
      </c>
      <c r="D321" s="42" t="s">
        <v>77</v>
      </c>
      <c r="E321" s="112" t="s">
        <v>8</v>
      </c>
      <c r="F321" s="20">
        <v>16.149999999999999</v>
      </c>
      <c r="G321" s="13">
        <v>5.28</v>
      </c>
      <c r="H321" s="13">
        <f t="shared" si="73"/>
        <v>6.4664160000000006</v>
      </c>
      <c r="I321" s="13">
        <f t="shared" si="74"/>
        <v>104.4326184</v>
      </c>
      <c r="J321" s="33"/>
      <c r="K321" s="34"/>
      <c r="L321" s="34"/>
      <c r="M321" s="32"/>
      <c r="N321" s="32"/>
    </row>
    <row r="322" spans="1:14" ht="75" x14ac:dyDescent="0.25">
      <c r="A322" s="164">
        <v>303</v>
      </c>
      <c r="B322" s="207" t="s">
        <v>122</v>
      </c>
      <c r="C322" s="12" t="s">
        <v>72</v>
      </c>
      <c r="D322" s="163" t="s">
        <v>73</v>
      </c>
      <c r="E322" s="112" t="s">
        <v>8</v>
      </c>
      <c r="F322" s="20">
        <f>0.5*0.5+0.6*2.1</f>
        <v>1.51</v>
      </c>
      <c r="G322" s="13">
        <v>22.57</v>
      </c>
      <c r="H322" s="13">
        <f t="shared" si="73"/>
        <v>27.641479</v>
      </c>
      <c r="I322" s="13">
        <f t="shared" si="74"/>
        <v>41.738633290000003</v>
      </c>
      <c r="J322" s="33"/>
      <c r="K322" s="34"/>
      <c r="L322" s="34"/>
      <c r="M322" s="32"/>
      <c r="N322" s="32"/>
    </row>
    <row r="323" spans="1:14" ht="60" x14ac:dyDescent="0.25">
      <c r="A323" s="164">
        <v>304</v>
      </c>
      <c r="B323" s="207"/>
      <c r="C323" s="160" t="s">
        <v>74</v>
      </c>
      <c r="D323" s="163" t="s">
        <v>75</v>
      </c>
      <c r="E323" s="112" t="s">
        <v>8</v>
      </c>
      <c r="F323" s="20">
        <v>1.85</v>
      </c>
      <c r="G323" s="13">
        <v>14.14</v>
      </c>
      <c r="H323" s="13">
        <f t="shared" si="73"/>
        <v>17.317258000000002</v>
      </c>
      <c r="I323" s="13">
        <f t="shared" si="74"/>
        <v>32.036927300000009</v>
      </c>
      <c r="J323" s="33"/>
      <c r="K323" s="34"/>
      <c r="L323" s="34"/>
      <c r="M323" s="32"/>
      <c r="N323" s="32"/>
    </row>
    <row r="324" spans="1:14" ht="60" x14ac:dyDescent="0.25">
      <c r="A324" s="164">
        <v>305</v>
      </c>
      <c r="B324" s="207"/>
      <c r="C324" s="113" t="s">
        <v>76</v>
      </c>
      <c r="D324" s="42" t="s">
        <v>77</v>
      </c>
      <c r="E324" s="112" t="s">
        <v>8</v>
      </c>
      <c r="F324" s="20">
        <v>1.85</v>
      </c>
      <c r="G324" s="13">
        <v>5.28</v>
      </c>
      <c r="H324" s="13">
        <f t="shared" si="73"/>
        <v>6.4664160000000006</v>
      </c>
      <c r="I324" s="13">
        <f t="shared" si="74"/>
        <v>11.962869600000001</v>
      </c>
      <c r="J324" s="33"/>
      <c r="K324" s="34"/>
      <c r="L324" s="34"/>
      <c r="M324" s="32"/>
      <c r="N324" s="32"/>
    </row>
    <row r="325" spans="1:14" ht="45" x14ac:dyDescent="0.25">
      <c r="A325" s="164">
        <v>306</v>
      </c>
      <c r="B325" s="207" t="s">
        <v>125</v>
      </c>
      <c r="C325" s="12" t="s">
        <v>68</v>
      </c>
      <c r="D325" s="25" t="s">
        <v>69</v>
      </c>
      <c r="E325" s="112" t="s">
        <v>8</v>
      </c>
      <c r="F325" s="20">
        <f>(2*8.4*3+2*(6.5*3+6.5*1.25/2))+(2*8.5*3+2*(6.5*3+6.5*1.25/2))+(2*((3.2+5.3)*4.55/2)+(14.5*3.2)+(14.5*5.3))+((17.35*6)+2*((4.5+3.2)*4.4/2)+(17.35*3.2)+2*((4.5+3.5)*4.4/2))+(5.15+25.75)*1-F280-F285-F290-F295-F300-F305-F308-F311-F316--F319-F322</f>
        <v>567.07500000000005</v>
      </c>
      <c r="G325" s="13">
        <v>8.64</v>
      </c>
      <c r="H325" s="13">
        <f t="shared" ref="H325:H329" si="75">G325+G325*B$18</f>
        <v>10.581408000000001</v>
      </c>
      <c r="I325" s="13">
        <f t="shared" ref="I325:I329" si="76">H325*F325</f>
        <v>6000.4519416000012</v>
      </c>
      <c r="J325" s="33"/>
      <c r="K325" s="34"/>
      <c r="L325" s="34"/>
      <c r="M325" s="32"/>
      <c r="N325" s="32"/>
    </row>
    <row r="326" spans="1:14" ht="60" x14ac:dyDescent="0.25">
      <c r="A326" s="164">
        <v>307</v>
      </c>
      <c r="B326" s="207"/>
      <c r="C326" s="12" t="s">
        <v>70</v>
      </c>
      <c r="D326" s="25" t="s">
        <v>71</v>
      </c>
      <c r="E326" s="112" t="s">
        <v>8</v>
      </c>
      <c r="F326" s="20">
        <f>F325</f>
        <v>567.07500000000005</v>
      </c>
      <c r="G326" s="13">
        <v>4.21</v>
      </c>
      <c r="H326" s="13">
        <f t="shared" si="75"/>
        <v>5.1559869999999997</v>
      </c>
      <c r="I326" s="13">
        <f t="shared" si="76"/>
        <v>2923.8313280249999</v>
      </c>
      <c r="J326" s="33"/>
      <c r="K326" s="34"/>
      <c r="L326" s="34"/>
      <c r="M326" s="32"/>
      <c r="N326" s="32"/>
    </row>
    <row r="327" spans="1:14" ht="45" x14ac:dyDescent="0.25">
      <c r="A327" s="164">
        <v>308</v>
      </c>
      <c r="B327" s="207" t="s">
        <v>124</v>
      </c>
      <c r="C327" s="12" t="s">
        <v>68</v>
      </c>
      <c r="D327" s="25" t="s">
        <v>69</v>
      </c>
      <c r="E327" s="112" t="s">
        <v>8</v>
      </c>
      <c r="F327" s="20">
        <f>F328</f>
        <v>302.03800000000001</v>
      </c>
      <c r="G327" s="13">
        <v>8.64</v>
      </c>
      <c r="H327" s="13">
        <f t="shared" si="75"/>
        <v>10.581408000000001</v>
      </c>
      <c r="I327" s="13">
        <f t="shared" si="76"/>
        <v>3195.9873095040007</v>
      </c>
      <c r="J327" s="33"/>
      <c r="K327" s="34"/>
      <c r="L327" s="34"/>
      <c r="M327" s="32"/>
      <c r="N327" s="32"/>
    </row>
    <row r="328" spans="1:14" ht="60" x14ac:dyDescent="0.25">
      <c r="A328" s="164">
        <v>309</v>
      </c>
      <c r="B328" s="207"/>
      <c r="C328" s="12" t="s">
        <v>70</v>
      </c>
      <c r="D328" s="25" t="s">
        <v>71</v>
      </c>
      <c r="E328" s="112" t="s">
        <v>8</v>
      </c>
      <c r="F328" s="20">
        <f>140.29*2.2-F329</f>
        <v>302.03800000000001</v>
      </c>
      <c r="G328" s="13">
        <v>4.21</v>
      </c>
      <c r="H328" s="13">
        <f t="shared" si="75"/>
        <v>5.1559869999999997</v>
      </c>
      <c r="I328" s="13">
        <f t="shared" si="76"/>
        <v>1557.3040015059998</v>
      </c>
      <c r="J328" s="33"/>
      <c r="K328" s="34"/>
      <c r="L328" s="34"/>
      <c r="M328" s="32"/>
      <c r="N328" s="32"/>
    </row>
    <row r="329" spans="1:14" ht="75" x14ac:dyDescent="0.25">
      <c r="A329" s="164">
        <v>310</v>
      </c>
      <c r="B329" s="207"/>
      <c r="C329" s="12" t="s">
        <v>72</v>
      </c>
      <c r="D329" s="163" t="s">
        <v>73</v>
      </c>
      <c r="E329" s="112" t="s">
        <v>8</v>
      </c>
      <c r="F329" s="20">
        <f>3*2.2</f>
        <v>6.6000000000000005</v>
      </c>
      <c r="G329" s="13">
        <v>22.57</v>
      </c>
      <c r="H329" s="13">
        <f t="shared" si="75"/>
        <v>27.641479</v>
      </c>
      <c r="I329" s="13">
        <f t="shared" si="76"/>
        <v>182.43376140000001</v>
      </c>
      <c r="J329" s="33"/>
      <c r="K329" s="34"/>
      <c r="L329" s="34"/>
      <c r="M329" s="32"/>
      <c r="N329" s="32"/>
    </row>
    <row r="330" spans="1:14" ht="45" customHeight="1" x14ac:dyDescent="0.25">
      <c r="A330" s="164">
        <v>311</v>
      </c>
      <c r="B330" s="208" t="s">
        <v>351</v>
      </c>
      <c r="C330" s="208"/>
      <c r="D330" s="208"/>
      <c r="E330" s="208"/>
      <c r="F330" s="208"/>
      <c r="G330" s="208"/>
      <c r="H330" s="208"/>
      <c r="I330" s="30">
        <f>SUM(I331:I404)</f>
        <v>35928.342017657502</v>
      </c>
      <c r="J330" s="33"/>
      <c r="K330" s="34"/>
      <c r="L330" s="34"/>
      <c r="M330" s="32"/>
      <c r="N330" s="32"/>
    </row>
    <row r="331" spans="1:14" ht="45" customHeight="1" x14ac:dyDescent="0.25">
      <c r="A331" s="164">
        <v>312</v>
      </c>
      <c r="B331" s="112"/>
      <c r="C331" s="150" t="s">
        <v>155</v>
      </c>
      <c r="D331" s="151" t="s">
        <v>154</v>
      </c>
      <c r="E331" s="112" t="s">
        <v>8</v>
      </c>
      <c r="F331" s="112">
        <v>2.88</v>
      </c>
      <c r="G331" s="112">
        <v>312.06</v>
      </c>
      <c r="H331" s="13">
        <f t="shared" ref="H331" si="77">G331+G331*B$18</f>
        <v>382.17988200000002</v>
      </c>
      <c r="I331" s="13">
        <f t="shared" ref="I331" si="78">H331*F331</f>
        <v>1100.6780601600001</v>
      </c>
      <c r="J331" s="33"/>
      <c r="K331" s="34"/>
      <c r="L331" s="34"/>
      <c r="M331" s="32"/>
      <c r="N331" s="32"/>
    </row>
    <row r="332" spans="1:14" ht="45" customHeight="1" x14ac:dyDescent="0.25">
      <c r="A332" s="164">
        <v>313</v>
      </c>
      <c r="B332" s="209" t="s">
        <v>104</v>
      </c>
      <c r="C332" s="112" t="s">
        <v>150</v>
      </c>
      <c r="D332" s="163" t="s">
        <v>147</v>
      </c>
      <c r="E332" s="112" t="s">
        <v>146</v>
      </c>
      <c r="F332" s="112">
        <v>4</v>
      </c>
      <c r="G332" s="112">
        <v>12</v>
      </c>
      <c r="H332" s="13">
        <f t="shared" ref="H332:H333" si="79">G332+G332*B$18</f>
        <v>14.696400000000001</v>
      </c>
      <c r="I332" s="13">
        <f t="shared" ref="I332:I333" si="80">H332*F332</f>
        <v>58.785600000000002</v>
      </c>
      <c r="J332" s="33"/>
      <c r="K332" s="34"/>
      <c r="L332" s="34"/>
      <c r="M332" s="32"/>
      <c r="N332" s="32"/>
    </row>
    <row r="333" spans="1:14" ht="45" customHeight="1" x14ac:dyDescent="0.25">
      <c r="A333" s="164">
        <v>314</v>
      </c>
      <c r="B333" s="209"/>
      <c r="C333" s="112" t="s">
        <v>149</v>
      </c>
      <c r="D333" s="163" t="s">
        <v>148</v>
      </c>
      <c r="E333" s="112" t="s">
        <v>19</v>
      </c>
      <c r="F333" s="112">
        <v>4</v>
      </c>
      <c r="G333" s="142">
        <v>6.52</v>
      </c>
      <c r="H333" s="13">
        <f t="shared" si="79"/>
        <v>7.9850439999999994</v>
      </c>
      <c r="I333" s="13">
        <f t="shared" si="80"/>
        <v>31.940175999999997</v>
      </c>
      <c r="J333" s="33"/>
      <c r="K333" s="34"/>
      <c r="L333" s="34"/>
      <c r="M333" s="32"/>
      <c r="N333" s="32"/>
    </row>
    <row r="334" spans="1:14" ht="45" x14ac:dyDescent="0.25">
      <c r="A334" s="164">
        <v>315</v>
      </c>
      <c r="B334" s="207" t="s">
        <v>114</v>
      </c>
      <c r="C334" s="12" t="s">
        <v>68</v>
      </c>
      <c r="D334" s="25" t="s">
        <v>69</v>
      </c>
      <c r="E334" s="112" t="s">
        <v>8</v>
      </c>
      <c r="F334" s="20">
        <f>22.1*2.8-F336</f>
        <v>55.400000000000006</v>
      </c>
      <c r="G334" s="13">
        <v>8.64</v>
      </c>
      <c r="H334" s="13">
        <f t="shared" ref="H334:H365" si="81">G334+G334*B$18</f>
        <v>10.581408000000001</v>
      </c>
      <c r="I334" s="13">
        <f t="shared" ref="I334:I365" si="82">H334*F334</f>
        <v>586.21000320000019</v>
      </c>
      <c r="J334" s="33"/>
      <c r="K334" s="34"/>
      <c r="L334" s="34"/>
      <c r="M334" s="32"/>
      <c r="N334" s="32"/>
    </row>
    <row r="335" spans="1:14" ht="60" x14ac:dyDescent="0.25">
      <c r="A335" s="164">
        <v>316</v>
      </c>
      <c r="B335" s="207"/>
      <c r="C335" s="12" t="s">
        <v>70</v>
      </c>
      <c r="D335" s="25" t="s">
        <v>71</v>
      </c>
      <c r="E335" s="112" t="s">
        <v>8</v>
      </c>
      <c r="F335" s="20">
        <f>F334</f>
        <v>55.400000000000006</v>
      </c>
      <c r="G335" s="13">
        <v>4.21</v>
      </c>
      <c r="H335" s="13">
        <f t="shared" si="81"/>
        <v>5.1559869999999997</v>
      </c>
      <c r="I335" s="13">
        <f t="shared" si="82"/>
        <v>285.64167980000002</v>
      </c>
      <c r="J335" s="33"/>
      <c r="K335" s="34"/>
      <c r="L335" s="34"/>
      <c r="M335" s="32"/>
      <c r="N335" s="32"/>
    </row>
    <row r="336" spans="1:14" ht="75" x14ac:dyDescent="0.25">
      <c r="A336" s="164">
        <v>317</v>
      </c>
      <c r="B336" s="207"/>
      <c r="C336" s="12" t="s">
        <v>72</v>
      </c>
      <c r="D336" s="163" t="s">
        <v>73</v>
      </c>
      <c r="E336" s="112" t="s">
        <v>8</v>
      </c>
      <c r="F336" s="20">
        <f>2*1.2*2+0.8*2.1</f>
        <v>6.48</v>
      </c>
      <c r="G336" s="13">
        <v>22.57</v>
      </c>
      <c r="H336" s="13">
        <f t="shared" si="81"/>
        <v>27.641479</v>
      </c>
      <c r="I336" s="13">
        <f t="shared" si="82"/>
        <v>179.11678392000002</v>
      </c>
      <c r="J336" s="33"/>
      <c r="K336" s="34"/>
      <c r="L336" s="34"/>
      <c r="M336" s="32"/>
      <c r="N336" s="32"/>
    </row>
    <row r="337" spans="1:14" ht="60" x14ac:dyDescent="0.25">
      <c r="A337" s="164">
        <v>318</v>
      </c>
      <c r="B337" s="207"/>
      <c r="C337" s="160" t="s">
        <v>74</v>
      </c>
      <c r="D337" s="163" t="s">
        <v>75</v>
      </c>
      <c r="E337" s="112" t="s">
        <v>8</v>
      </c>
      <c r="F337" s="20">
        <v>30.25</v>
      </c>
      <c r="G337" s="13">
        <v>14.14</v>
      </c>
      <c r="H337" s="13">
        <f t="shared" si="81"/>
        <v>17.317258000000002</v>
      </c>
      <c r="I337" s="13">
        <f t="shared" si="82"/>
        <v>523.84705450000013</v>
      </c>
      <c r="J337" s="33"/>
      <c r="K337" s="34"/>
      <c r="L337" s="34"/>
      <c r="M337" s="32"/>
      <c r="N337" s="32"/>
    </row>
    <row r="338" spans="1:14" ht="60" x14ac:dyDescent="0.25">
      <c r="A338" s="164">
        <v>319</v>
      </c>
      <c r="B338" s="207"/>
      <c r="C338" s="113" t="s">
        <v>76</v>
      </c>
      <c r="D338" s="42" t="s">
        <v>77</v>
      </c>
      <c r="E338" s="112" t="s">
        <v>8</v>
      </c>
      <c r="F338" s="20">
        <v>30.25</v>
      </c>
      <c r="G338" s="13">
        <v>5.28</v>
      </c>
      <c r="H338" s="13">
        <f t="shared" si="81"/>
        <v>6.4664160000000006</v>
      </c>
      <c r="I338" s="13">
        <f t="shared" si="82"/>
        <v>195.60908400000002</v>
      </c>
      <c r="J338" s="33"/>
      <c r="K338" s="34"/>
      <c r="L338" s="34"/>
      <c r="M338" s="32"/>
      <c r="N338" s="32"/>
    </row>
    <row r="339" spans="1:14" ht="45" x14ac:dyDescent="0.25">
      <c r="A339" s="164">
        <v>320</v>
      </c>
      <c r="B339" s="207" t="s">
        <v>115</v>
      </c>
      <c r="C339" s="12" t="s">
        <v>68</v>
      </c>
      <c r="D339" s="25" t="s">
        <v>69</v>
      </c>
      <c r="E339" s="112" t="s">
        <v>8</v>
      </c>
      <c r="F339" s="20">
        <f>21.2*2.8-F341</f>
        <v>52.879999999999995</v>
      </c>
      <c r="G339" s="13">
        <v>8.64</v>
      </c>
      <c r="H339" s="13">
        <f t="shared" si="81"/>
        <v>10.581408000000001</v>
      </c>
      <c r="I339" s="13">
        <f t="shared" si="82"/>
        <v>559.54485504000002</v>
      </c>
      <c r="J339" s="33"/>
      <c r="K339" s="34"/>
      <c r="L339" s="34"/>
      <c r="M339" s="32"/>
      <c r="N339" s="32"/>
    </row>
    <row r="340" spans="1:14" ht="60" x14ac:dyDescent="0.25">
      <c r="A340" s="164">
        <v>321</v>
      </c>
      <c r="B340" s="207"/>
      <c r="C340" s="12" t="s">
        <v>70</v>
      </c>
      <c r="D340" s="25" t="s">
        <v>71</v>
      </c>
      <c r="E340" s="112" t="s">
        <v>8</v>
      </c>
      <c r="F340" s="20">
        <f>F339</f>
        <v>52.879999999999995</v>
      </c>
      <c r="G340" s="13">
        <v>4.21</v>
      </c>
      <c r="H340" s="13">
        <f t="shared" si="81"/>
        <v>5.1559869999999997</v>
      </c>
      <c r="I340" s="13">
        <f t="shared" si="82"/>
        <v>272.64859255999994</v>
      </c>
      <c r="J340" s="33"/>
      <c r="K340" s="34"/>
      <c r="L340" s="34"/>
      <c r="M340" s="32"/>
      <c r="N340" s="32"/>
    </row>
    <row r="341" spans="1:14" ht="75" x14ac:dyDescent="0.25">
      <c r="A341" s="164">
        <v>322</v>
      </c>
      <c r="B341" s="207"/>
      <c r="C341" s="12" t="s">
        <v>72</v>
      </c>
      <c r="D341" s="163" t="s">
        <v>73</v>
      </c>
      <c r="E341" s="112" t="s">
        <v>8</v>
      </c>
      <c r="F341" s="20">
        <f>2*1.2*2+0.8*2.1</f>
        <v>6.48</v>
      </c>
      <c r="G341" s="13">
        <v>22.57</v>
      </c>
      <c r="H341" s="13">
        <f t="shared" si="81"/>
        <v>27.641479</v>
      </c>
      <c r="I341" s="13">
        <f t="shared" si="82"/>
        <v>179.11678392000002</v>
      </c>
      <c r="J341" s="33"/>
      <c r="K341" s="34"/>
      <c r="L341" s="34"/>
      <c r="M341" s="32"/>
      <c r="N341" s="32"/>
    </row>
    <row r="342" spans="1:14" ht="60" x14ac:dyDescent="0.25">
      <c r="A342" s="164">
        <v>323</v>
      </c>
      <c r="B342" s="207"/>
      <c r="C342" s="160" t="s">
        <v>74</v>
      </c>
      <c r="D342" s="163" t="s">
        <v>75</v>
      </c>
      <c r="E342" s="112" t="s">
        <v>8</v>
      </c>
      <c r="F342" s="20">
        <f>28</f>
        <v>28</v>
      </c>
      <c r="G342" s="13">
        <v>14.14</v>
      </c>
      <c r="H342" s="13">
        <f t="shared" si="81"/>
        <v>17.317258000000002</v>
      </c>
      <c r="I342" s="13">
        <f t="shared" si="82"/>
        <v>484.88322400000004</v>
      </c>
      <c r="J342" s="33"/>
      <c r="K342" s="34"/>
      <c r="L342" s="34"/>
      <c r="M342" s="32"/>
      <c r="N342" s="32"/>
    </row>
    <row r="343" spans="1:14" ht="60" x14ac:dyDescent="0.25">
      <c r="A343" s="164">
        <v>324</v>
      </c>
      <c r="B343" s="207"/>
      <c r="C343" s="113" t="s">
        <v>76</v>
      </c>
      <c r="D343" s="42" t="s">
        <v>77</v>
      </c>
      <c r="E343" s="112" t="s">
        <v>8</v>
      </c>
      <c r="F343" s="20">
        <v>28</v>
      </c>
      <c r="G343" s="13">
        <v>5.28</v>
      </c>
      <c r="H343" s="13">
        <f t="shared" si="81"/>
        <v>6.4664160000000006</v>
      </c>
      <c r="I343" s="13">
        <f t="shared" si="82"/>
        <v>181.05964800000001</v>
      </c>
      <c r="J343" s="33"/>
      <c r="K343" s="34"/>
      <c r="L343" s="34"/>
      <c r="M343" s="32"/>
      <c r="N343" s="32"/>
    </row>
    <row r="344" spans="1:14" ht="45" x14ac:dyDescent="0.25">
      <c r="A344" s="164">
        <v>325</v>
      </c>
      <c r="B344" s="207" t="s">
        <v>103</v>
      </c>
      <c r="C344" s="12" t="s">
        <v>68</v>
      </c>
      <c r="D344" s="25" t="s">
        <v>69</v>
      </c>
      <c r="E344" s="112" t="s">
        <v>8</v>
      </c>
      <c r="F344" s="20">
        <f>20*2.8-F346</f>
        <v>49.519999999999996</v>
      </c>
      <c r="G344" s="13">
        <v>8.64</v>
      </c>
      <c r="H344" s="13">
        <f t="shared" si="81"/>
        <v>10.581408000000001</v>
      </c>
      <c r="I344" s="13">
        <f t="shared" si="82"/>
        <v>523.99132415999998</v>
      </c>
      <c r="J344" s="33"/>
      <c r="K344" s="34"/>
      <c r="L344" s="34"/>
      <c r="M344" s="32"/>
      <c r="N344" s="32"/>
    </row>
    <row r="345" spans="1:14" ht="60" x14ac:dyDescent="0.25">
      <c r="A345" s="164">
        <v>326</v>
      </c>
      <c r="B345" s="207"/>
      <c r="C345" s="12" t="s">
        <v>70</v>
      </c>
      <c r="D345" s="25" t="s">
        <v>71</v>
      </c>
      <c r="E345" s="112" t="s">
        <v>8</v>
      </c>
      <c r="F345" s="20">
        <f>F344</f>
        <v>49.519999999999996</v>
      </c>
      <c r="G345" s="13">
        <v>4.21</v>
      </c>
      <c r="H345" s="13">
        <f t="shared" si="81"/>
        <v>5.1559869999999997</v>
      </c>
      <c r="I345" s="13">
        <f t="shared" si="82"/>
        <v>255.32447623999997</v>
      </c>
      <c r="J345" s="33"/>
      <c r="K345" s="34"/>
      <c r="L345" s="34"/>
      <c r="M345" s="32"/>
      <c r="N345" s="32"/>
    </row>
    <row r="346" spans="1:14" ht="75" x14ac:dyDescent="0.25">
      <c r="A346" s="164">
        <v>327</v>
      </c>
      <c r="B346" s="207"/>
      <c r="C346" s="12" t="s">
        <v>72</v>
      </c>
      <c r="D346" s="163" t="s">
        <v>73</v>
      </c>
      <c r="E346" s="112" t="s">
        <v>8</v>
      </c>
      <c r="F346" s="20">
        <f>2*1.2*2+0.8*2.1</f>
        <v>6.48</v>
      </c>
      <c r="G346" s="13">
        <v>22.57</v>
      </c>
      <c r="H346" s="13">
        <f t="shared" si="81"/>
        <v>27.641479</v>
      </c>
      <c r="I346" s="13">
        <f t="shared" si="82"/>
        <v>179.11678392000002</v>
      </c>
      <c r="J346" s="33"/>
      <c r="K346" s="34"/>
      <c r="L346" s="34"/>
      <c r="M346" s="32"/>
      <c r="N346" s="32"/>
    </row>
    <row r="347" spans="1:14" ht="60" x14ac:dyDescent="0.25">
      <c r="A347" s="164">
        <v>328</v>
      </c>
      <c r="B347" s="207"/>
      <c r="C347" s="160" t="s">
        <v>74</v>
      </c>
      <c r="D347" s="163" t="s">
        <v>75</v>
      </c>
      <c r="E347" s="112" t="s">
        <v>8</v>
      </c>
      <c r="F347" s="20">
        <v>30</v>
      </c>
      <c r="G347" s="13">
        <v>14.14</v>
      </c>
      <c r="H347" s="13">
        <f t="shared" si="81"/>
        <v>17.317258000000002</v>
      </c>
      <c r="I347" s="13">
        <f t="shared" si="82"/>
        <v>519.51774000000012</v>
      </c>
      <c r="J347" s="33"/>
      <c r="K347" s="34"/>
      <c r="L347" s="34"/>
      <c r="M347" s="32"/>
      <c r="N347" s="32"/>
    </row>
    <row r="348" spans="1:14" ht="60" x14ac:dyDescent="0.25">
      <c r="A348" s="164">
        <v>329</v>
      </c>
      <c r="B348" s="207"/>
      <c r="C348" s="113" t="s">
        <v>76</v>
      </c>
      <c r="D348" s="42" t="s">
        <v>77</v>
      </c>
      <c r="E348" s="112" t="s">
        <v>8</v>
      </c>
      <c r="F348" s="20">
        <v>30</v>
      </c>
      <c r="G348" s="13">
        <v>5.28</v>
      </c>
      <c r="H348" s="13">
        <f t="shared" si="81"/>
        <v>6.4664160000000006</v>
      </c>
      <c r="I348" s="13">
        <f t="shared" si="82"/>
        <v>193.99248000000003</v>
      </c>
      <c r="J348" s="33"/>
      <c r="K348" s="34"/>
      <c r="L348" s="34"/>
      <c r="M348" s="32"/>
      <c r="N348" s="32"/>
    </row>
    <row r="349" spans="1:14" ht="45" x14ac:dyDescent="0.25">
      <c r="A349" s="164">
        <v>330</v>
      </c>
      <c r="B349" s="207" t="s">
        <v>116</v>
      </c>
      <c r="C349" s="12" t="s">
        <v>68</v>
      </c>
      <c r="D349" s="25" t="s">
        <v>69</v>
      </c>
      <c r="E349" s="112" t="s">
        <v>8</v>
      </c>
      <c r="F349" s="20">
        <f>15*2.8-F351</f>
        <v>40.32</v>
      </c>
      <c r="G349" s="13">
        <v>8.64</v>
      </c>
      <c r="H349" s="13">
        <f t="shared" si="81"/>
        <v>10.581408000000001</v>
      </c>
      <c r="I349" s="13">
        <f t="shared" si="82"/>
        <v>426.64237056000007</v>
      </c>
      <c r="J349" s="33"/>
      <c r="K349" s="34"/>
      <c r="L349" s="34"/>
      <c r="M349" s="32"/>
      <c r="N349" s="32"/>
    </row>
    <row r="350" spans="1:14" ht="60" x14ac:dyDescent="0.25">
      <c r="A350" s="164">
        <v>331</v>
      </c>
      <c r="B350" s="207"/>
      <c r="C350" s="12" t="s">
        <v>70</v>
      </c>
      <c r="D350" s="25" t="s">
        <v>71</v>
      </c>
      <c r="E350" s="112" t="s">
        <v>8</v>
      </c>
      <c r="F350" s="20">
        <f>F349</f>
        <v>40.32</v>
      </c>
      <c r="G350" s="13">
        <v>4.21</v>
      </c>
      <c r="H350" s="13">
        <f t="shared" si="81"/>
        <v>5.1559869999999997</v>
      </c>
      <c r="I350" s="13">
        <f t="shared" si="82"/>
        <v>207.88939583999999</v>
      </c>
      <c r="J350" s="33"/>
      <c r="K350" s="34"/>
      <c r="L350" s="34"/>
      <c r="M350" s="32"/>
      <c r="N350" s="32"/>
    </row>
    <row r="351" spans="1:14" ht="75" x14ac:dyDescent="0.25">
      <c r="A351" s="164">
        <v>332</v>
      </c>
      <c r="B351" s="207"/>
      <c r="C351" s="12" t="s">
        <v>72</v>
      </c>
      <c r="D351" s="163" t="s">
        <v>73</v>
      </c>
      <c r="E351" s="112" t="s">
        <v>8</v>
      </c>
      <c r="F351" s="20">
        <f>0.8*2.1</f>
        <v>1.6800000000000002</v>
      </c>
      <c r="G351" s="13">
        <v>22.57</v>
      </c>
      <c r="H351" s="13">
        <f t="shared" si="81"/>
        <v>27.641479</v>
      </c>
      <c r="I351" s="13">
        <f t="shared" si="82"/>
        <v>46.437684720000007</v>
      </c>
      <c r="J351" s="33"/>
      <c r="K351" s="34"/>
      <c r="L351" s="34"/>
      <c r="M351" s="32"/>
      <c r="N351" s="32"/>
    </row>
    <row r="352" spans="1:14" ht="60" x14ac:dyDescent="0.25">
      <c r="A352" s="164">
        <v>333</v>
      </c>
      <c r="B352" s="207"/>
      <c r="C352" s="160" t="s">
        <v>74</v>
      </c>
      <c r="D352" s="163" t="s">
        <v>75</v>
      </c>
      <c r="E352" s="112" t="s">
        <v>8</v>
      </c>
      <c r="F352" s="20">
        <v>13.5</v>
      </c>
      <c r="G352" s="13">
        <v>14.14</v>
      </c>
      <c r="H352" s="13">
        <f t="shared" si="81"/>
        <v>17.317258000000002</v>
      </c>
      <c r="I352" s="13">
        <f t="shared" si="82"/>
        <v>233.78298300000003</v>
      </c>
      <c r="J352" s="33"/>
      <c r="K352" s="34"/>
      <c r="L352" s="34"/>
      <c r="M352" s="32"/>
      <c r="N352" s="32"/>
    </row>
    <row r="353" spans="1:14" ht="60" x14ac:dyDescent="0.25">
      <c r="A353" s="164">
        <v>334</v>
      </c>
      <c r="B353" s="207"/>
      <c r="C353" s="113" t="s">
        <v>76</v>
      </c>
      <c r="D353" s="42" t="s">
        <v>77</v>
      </c>
      <c r="E353" s="112" t="s">
        <v>8</v>
      </c>
      <c r="F353" s="20">
        <v>13.5</v>
      </c>
      <c r="G353" s="13">
        <v>5.28</v>
      </c>
      <c r="H353" s="13">
        <f t="shared" si="81"/>
        <v>6.4664160000000006</v>
      </c>
      <c r="I353" s="13">
        <f t="shared" si="82"/>
        <v>87.296616000000014</v>
      </c>
      <c r="J353" s="33"/>
      <c r="K353" s="34"/>
      <c r="L353" s="34"/>
      <c r="M353" s="32"/>
      <c r="N353" s="32"/>
    </row>
    <row r="354" spans="1:14" ht="45" x14ac:dyDescent="0.25">
      <c r="A354" s="164">
        <v>335</v>
      </c>
      <c r="B354" s="207" t="s">
        <v>117</v>
      </c>
      <c r="C354" s="12" t="s">
        <v>68</v>
      </c>
      <c r="D354" s="25" t="s">
        <v>69</v>
      </c>
      <c r="E354" s="112" t="s">
        <v>8</v>
      </c>
      <c r="F354" s="20">
        <f>23*2.8-F356</f>
        <v>60.319999999999993</v>
      </c>
      <c r="G354" s="13">
        <v>8.64</v>
      </c>
      <c r="H354" s="13">
        <f t="shared" si="81"/>
        <v>10.581408000000001</v>
      </c>
      <c r="I354" s="13">
        <f t="shared" si="82"/>
        <v>638.27053056</v>
      </c>
      <c r="J354" s="33"/>
      <c r="K354" s="34"/>
      <c r="L354" s="34"/>
      <c r="M354" s="32"/>
      <c r="N354" s="32"/>
    </row>
    <row r="355" spans="1:14" ht="60" x14ac:dyDescent="0.25">
      <c r="A355" s="164">
        <v>336</v>
      </c>
      <c r="B355" s="207"/>
      <c r="C355" s="12" t="s">
        <v>70</v>
      </c>
      <c r="D355" s="25" t="s">
        <v>71</v>
      </c>
      <c r="E355" s="112" t="s">
        <v>8</v>
      </c>
      <c r="F355" s="20">
        <f>F354</f>
        <v>60.319999999999993</v>
      </c>
      <c r="G355" s="13">
        <v>4.21</v>
      </c>
      <c r="H355" s="13">
        <f t="shared" si="81"/>
        <v>5.1559869999999997</v>
      </c>
      <c r="I355" s="13">
        <f t="shared" si="82"/>
        <v>311.00913583999994</v>
      </c>
      <c r="J355" s="33"/>
      <c r="K355" s="34"/>
      <c r="L355" s="34"/>
      <c r="M355" s="32"/>
      <c r="N355" s="32"/>
    </row>
    <row r="356" spans="1:14" ht="75" x14ac:dyDescent="0.25">
      <c r="A356" s="164">
        <v>337</v>
      </c>
      <c r="B356" s="207"/>
      <c r="C356" s="12" t="s">
        <v>72</v>
      </c>
      <c r="D356" s="163" t="s">
        <v>73</v>
      </c>
      <c r="E356" s="112" t="s">
        <v>8</v>
      </c>
      <c r="F356" s="20">
        <f>1.2*2+0.8*2.1</f>
        <v>4.08</v>
      </c>
      <c r="G356" s="13">
        <v>22.57</v>
      </c>
      <c r="H356" s="13">
        <f t="shared" si="81"/>
        <v>27.641479</v>
      </c>
      <c r="I356" s="13">
        <f t="shared" si="82"/>
        <v>112.77723432000001</v>
      </c>
      <c r="J356" s="33"/>
      <c r="K356" s="34"/>
      <c r="L356" s="34"/>
      <c r="M356" s="32"/>
      <c r="N356" s="32"/>
    </row>
    <row r="357" spans="1:14" ht="60" x14ac:dyDescent="0.25">
      <c r="A357" s="164">
        <v>338</v>
      </c>
      <c r="B357" s="207"/>
      <c r="C357" s="160" t="s">
        <v>74</v>
      </c>
      <c r="D357" s="163" t="s">
        <v>75</v>
      </c>
      <c r="E357" s="112" t="s">
        <v>8</v>
      </c>
      <c r="F357" s="20">
        <v>31.55</v>
      </c>
      <c r="G357" s="13">
        <v>14.14</v>
      </c>
      <c r="H357" s="13">
        <f t="shared" si="81"/>
        <v>17.317258000000002</v>
      </c>
      <c r="I357" s="13">
        <f t="shared" si="82"/>
        <v>546.35948990000009</v>
      </c>
      <c r="J357" s="33"/>
      <c r="K357" s="34"/>
      <c r="L357" s="34"/>
      <c r="M357" s="32"/>
      <c r="N357" s="32"/>
    </row>
    <row r="358" spans="1:14" ht="60" x14ac:dyDescent="0.25">
      <c r="A358" s="164">
        <v>339</v>
      </c>
      <c r="B358" s="207"/>
      <c r="C358" s="113" t="s">
        <v>76</v>
      </c>
      <c r="D358" s="42" t="s">
        <v>77</v>
      </c>
      <c r="E358" s="112" t="s">
        <v>8</v>
      </c>
      <c r="F358" s="20">
        <v>31.55</v>
      </c>
      <c r="G358" s="13">
        <v>5.28</v>
      </c>
      <c r="H358" s="13">
        <f t="shared" si="81"/>
        <v>6.4664160000000006</v>
      </c>
      <c r="I358" s="13">
        <f t="shared" si="82"/>
        <v>204.01542480000003</v>
      </c>
      <c r="J358" s="33"/>
      <c r="K358" s="34"/>
      <c r="L358" s="34"/>
      <c r="M358" s="32"/>
      <c r="N358" s="32"/>
    </row>
    <row r="359" spans="1:14" ht="45" x14ac:dyDescent="0.25">
      <c r="A359" s="164">
        <v>340</v>
      </c>
      <c r="B359" s="207" t="s">
        <v>118</v>
      </c>
      <c r="C359" s="12" t="s">
        <v>68</v>
      </c>
      <c r="D359" s="25" t="s">
        <v>69</v>
      </c>
      <c r="E359" s="112" t="s">
        <v>8</v>
      </c>
      <c r="F359" s="20">
        <f>20*2.8-F361</f>
        <v>51.92</v>
      </c>
      <c r="G359" s="13">
        <v>8.64</v>
      </c>
      <c r="H359" s="13">
        <f t="shared" si="81"/>
        <v>10.581408000000001</v>
      </c>
      <c r="I359" s="13">
        <f t="shared" si="82"/>
        <v>549.38670336000007</v>
      </c>
      <c r="J359" s="33"/>
      <c r="K359" s="34"/>
      <c r="L359" s="34"/>
      <c r="M359" s="32"/>
      <c r="N359" s="32"/>
    </row>
    <row r="360" spans="1:14" ht="60" x14ac:dyDescent="0.25">
      <c r="A360" s="164">
        <v>341</v>
      </c>
      <c r="B360" s="207"/>
      <c r="C360" s="12" t="s">
        <v>70</v>
      </c>
      <c r="D360" s="25" t="s">
        <v>71</v>
      </c>
      <c r="E360" s="112" t="s">
        <v>8</v>
      </c>
      <c r="F360" s="20">
        <f>F359</f>
        <v>51.92</v>
      </c>
      <c r="G360" s="13">
        <v>4.21</v>
      </c>
      <c r="H360" s="13">
        <f t="shared" si="81"/>
        <v>5.1559869999999997</v>
      </c>
      <c r="I360" s="13">
        <f t="shared" si="82"/>
        <v>267.69884503999998</v>
      </c>
      <c r="J360" s="33"/>
      <c r="K360" s="34"/>
      <c r="L360" s="34"/>
      <c r="M360" s="32"/>
      <c r="N360" s="32"/>
    </row>
    <row r="361" spans="1:14" ht="75" x14ac:dyDescent="0.25">
      <c r="A361" s="164">
        <v>342</v>
      </c>
      <c r="B361" s="207"/>
      <c r="C361" s="12" t="s">
        <v>72</v>
      </c>
      <c r="D361" s="163" t="s">
        <v>73</v>
      </c>
      <c r="E361" s="112" t="s">
        <v>8</v>
      </c>
      <c r="F361" s="20">
        <f>1.2*2+0.8*2.1</f>
        <v>4.08</v>
      </c>
      <c r="G361" s="13">
        <v>22.57</v>
      </c>
      <c r="H361" s="13">
        <f t="shared" si="81"/>
        <v>27.641479</v>
      </c>
      <c r="I361" s="13">
        <f t="shared" si="82"/>
        <v>112.77723432000001</v>
      </c>
      <c r="J361" s="33"/>
      <c r="K361" s="34"/>
      <c r="L361" s="34"/>
      <c r="M361" s="32"/>
      <c r="N361" s="32"/>
    </row>
    <row r="362" spans="1:14" ht="60" x14ac:dyDescent="0.25">
      <c r="A362" s="164">
        <v>343</v>
      </c>
      <c r="B362" s="207"/>
      <c r="C362" s="160" t="s">
        <v>74</v>
      </c>
      <c r="D362" s="163" t="s">
        <v>75</v>
      </c>
      <c r="E362" s="112" t="s">
        <v>8</v>
      </c>
      <c r="F362" s="20">
        <v>25</v>
      </c>
      <c r="G362" s="13">
        <v>14.14</v>
      </c>
      <c r="H362" s="13">
        <f t="shared" si="81"/>
        <v>17.317258000000002</v>
      </c>
      <c r="I362" s="13">
        <f t="shared" si="82"/>
        <v>432.93145000000004</v>
      </c>
      <c r="J362" s="33"/>
      <c r="K362" s="34"/>
      <c r="L362" s="34"/>
      <c r="M362" s="32"/>
      <c r="N362" s="32"/>
    </row>
    <row r="363" spans="1:14" ht="60" x14ac:dyDescent="0.25">
      <c r="A363" s="164">
        <v>344</v>
      </c>
      <c r="B363" s="207"/>
      <c r="C363" s="113" t="s">
        <v>76</v>
      </c>
      <c r="D363" s="42" t="s">
        <v>77</v>
      </c>
      <c r="E363" s="112" t="s">
        <v>8</v>
      </c>
      <c r="F363" s="20">
        <v>25</v>
      </c>
      <c r="G363" s="13">
        <v>5.28</v>
      </c>
      <c r="H363" s="13">
        <f t="shared" si="81"/>
        <v>6.4664160000000006</v>
      </c>
      <c r="I363" s="13">
        <f t="shared" si="82"/>
        <v>161.66040000000001</v>
      </c>
      <c r="J363" s="33"/>
      <c r="K363" s="34"/>
      <c r="L363" s="34"/>
      <c r="M363" s="32"/>
      <c r="N363" s="32"/>
    </row>
    <row r="364" spans="1:14" ht="45" x14ac:dyDescent="0.25">
      <c r="A364" s="164">
        <v>345</v>
      </c>
      <c r="B364" s="207" t="s">
        <v>126</v>
      </c>
      <c r="C364" s="12" t="s">
        <v>68</v>
      </c>
      <c r="D364" s="25" t="s">
        <v>69</v>
      </c>
      <c r="E364" s="112" t="s">
        <v>8</v>
      </c>
      <c r="F364" s="20">
        <f>21.4*2.8-F366</f>
        <v>53.44</v>
      </c>
      <c r="G364" s="13">
        <v>8.64</v>
      </c>
      <c r="H364" s="13">
        <f t="shared" si="81"/>
        <v>10.581408000000001</v>
      </c>
      <c r="I364" s="13">
        <f t="shared" si="82"/>
        <v>565.47044352</v>
      </c>
      <c r="J364" s="33"/>
      <c r="K364" s="34"/>
      <c r="L364" s="34"/>
      <c r="M364" s="32"/>
      <c r="N364" s="32"/>
    </row>
    <row r="365" spans="1:14" ht="60" x14ac:dyDescent="0.25">
      <c r="A365" s="164">
        <v>346</v>
      </c>
      <c r="B365" s="207"/>
      <c r="C365" s="12" t="s">
        <v>70</v>
      </c>
      <c r="D365" s="25" t="s">
        <v>71</v>
      </c>
      <c r="E365" s="112" t="s">
        <v>8</v>
      </c>
      <c r="F365" s="20">
        <f>F364</f>
        <v>53.44</v>
      </c>
      <c r="G365" s="13">
        <v>4.21</v>
      </c>
      <c r="H365" s="13">
        <f t="shared" si="81"/>
        <v>5.1559869999999997</v>
      </c>
      <c r="I365" s="13">
        <f t="shared" si="82"/>
        <v>275.53594527999996</v>
      </c>
      <c r="J365" s="33"/>
      <c r="K365" s="34"/>
      <c r="L365" s="34"/>
      <c r="M365" s="32"/>
      <c r="N365" s="32"/>
    </row>
    <row r="366" spans="1:14" ht="75" x14ac:dyDescent="0.25">
      <c r="A366" s="164">
        <v>347</v>
      </c>
      <c r="B366" s="207"/>
      <c r="C366" s="12" t="s">
        <v>72</v>
      </c>
      <c r="D366" s="163" t="s">
        <v>73</v>
      </c>
      <c r="E366" s="112" t="s">
        <v>8</v>
      </c>
      <c r="F366" s="20">
        <f>2*1.2*2+0.8*2.1</f>
        <v>6.48</v>
      </c>
      <c r="G366" s="13">
        <v>22.57</v>
      </c>
      <c r="H366" s="13">
        <f t="shared" ref="H366:H383" si="83">G366+G366*B$18</f>
        <v>27.641479</v>
      </c>
      <c r="I366" s="13">
        <f t="shared" ref="I366:I383" si="84">H366*F366</f>
        <v>179.11678392000002</v>
      </c>
      <c r="J366" s="33"/>
      <c r="K366" s="34"/>
      <c r="L366" s="34"/>
      <c r="M366" s="32"/>
      <c r="N366" s="32"/>
    </row>
    <row r="367" spans="1:14" ht="60" x14ac:dyDescent="0.25">
      <c r="A367" s="164">
        <v>348</v>
      </c>
      <c r="B367" s="207"/>
      <c r="C367" s="160" t="s">
        <v>74</v>
      </c>
      <c r="D367" s="163" t="s">
        <v>75</v>
      </c>
      <c r="E367" s="112" t="s">
        <v>8</v>
      </c>
      <c r="F367" s="20">
        <v>28.5</v>
      </c>
      <c r="G367" s="13">
        <v>14.14</v>
      </c>
      <c r="H367" s="13">
        <f t="shared" si="83"/>
        <v>17.317258000000002</v>
      </c>
      <c r="I367" s="13">
        <f t="shared" si="84"/>
        <v>493.54185300000006</v>
      </c>
      <c r="J367" s="33"/>
      <c r="K367" s="34"/>
      <c r="L367" s="34"/>
      <c r="M367" s="32"/>
      <c r="N367" s="32"/>
    </row>
    <row r="368" spans="1:14" ht="60" x14ac:dyDescent="0.25">
      <c r="A368" s="164">
        <v>349</v>
      </c>
      <c r="B368" s="207"/>
      <c r="C368" s="113" t="s">
        <v>76</v>
      </c>
      <c r="D368" s="42" t="s">
        <v>77</v>
      </c>
      <c r="E368" s="112" t="s">
        <v>8</v>
      </c>
      <c r="F368" s="20">
        <v>28.5</v>
      </c>
      <c r="G368" s="13">
        <v>5.28</v>
      </c>
      <c r="H368" s="13">
        <f t="shared" si="83"/>
        <v>6.4664160000000006</v>
      </c>
      <c r="I368" s="13">
        <f t="shared" si="84"/>
        <v>184.29285600000003</v>
      </c>
      <c r="J368" s="33"/>
      <c r="K368" s="34"/>
      <c r="L368" s="34"/>
      <c r="M368" s="32"/>
      <c r="N368" s="32"/>
    </row>
    <row r="369" spans="1:14" ht="45" x14ac:dyDescent="0.25">
      <c r="A369" s="164">
        <v>350</v>
      </c>
      <c r="B369" s="207" t="s">
        <v>127</v>
      </c>
      <c r="C369" s="12" t="s">
        <v>68</v>
      </c>
      <c r="D369" s="25" t="s">
        <v>69</v>
      </c>
      <c r="E369" s="112" t="s">
        <v>8</v>
      </c>
      <c r="F369" s="20">
        <f>23.2*2.8-F371</f>
        <v>58.47999999999999</v>
      </c>
      <c r="G369" s="13">
        <v>8.64</v>
      </c>
      <c r="H369" s="13">
        <f t="shared" si="83"/>
        <v>10.581408000000001</v>
      </c>
      <c r="I369" s="13">
        <f t="shared" si="84"/>
        <v>618.80073984000001</v>
      </c>
      <c r="J369" s="33"/>
      <c r="K369" s="34"/>
      <c r="L369" s="34"/>
      <c r="M369" s="32"/>
      <c r="N369" s="32"/>
    </row>
    <row r="370" spans="1:14" ht="60" x14ac:dyDescent="0.25">
      <c r="A370" s="164">
        <v>351</v>
      </c>
      <c r="B370" s="207"/>
      <c r="C370" s="12" t="s">
        <v>70</v>
      </c>
      <c r="D370" s="25" t="s">
        <v>71</v>
      </c>
      <c r="E370" s="112" t="s">
        <v>8</v>
      </c>
      <c r="F370" s="20">
        <f>F369</f>
        <v>58.47999999999999</v>
      </c>
      <c r="G370" s="13">
        <v>4.21</v>
      </c>
      <c r="H370" s="13">
        <f t="shared" si="83"/>
        <v>5.1559869999999997</v>
      </c>
      <c r="I370" s="13">
        <f t="shared" si="84"/>
        <v>301.52211975999995</v>
      </c>
      <c r="J370" s="33"/>
      <c r="K370" s="34"/>
      <c r="L370" s="34"/>
      <c r="M370" s="32"/>
      <c r="N370" s="32"/>
    </row>
    <row r="371" spans="1:14" ht="75" x14ac:dyDescent="0.25">
      <c r="A371" s="164">
        <v>352</v>
      </c>
      <c r="B371" s="207"/>
      <c r="C371" s="12" t="s">
        <v>72</v>
      </c>
      <c r="D371" s="163" t="s">
        <v>73</v>
      </c>
      <c r="E371" s="112" t="s">
        <v>8</v>
      </c>
      <c r="F371" s="20">
        <f>2*1.2*2+0.8*2.1</f>
        <v>6.48</v>
      </c>
      <c r="G371" s="13">
        <v>22.57</v>
      </c>
      <c r="H371" s="13">
        <f t="shared" si="83"/>
        <v>27.641479</v>
      </c>
      <c r="I371" s="13">
        <f t="shared" si="84"/>
        <v>179.11678392000002</v>
      </c>
      <c r="J371" s="33"/>
      <c r="K371" s="34"/>
      <c r="L371" s="34"/>
      <c r="M371" s="32"/>
      <c r="N371" s="32"/>
    </row>
    <row r="372" spans="1:14" ht="60" x14ac:dyDescent="0.25">
      <c r="A372" s="164">
        <v>353</v>
      </c>
      <c r="B372" s="207"/>
      <c r="C372" s="160" t="s">
        <v>74</v>
      </c>
      <c r="D372" s="163" t="s">
        <v>75</v>
      </c>
      <c r="E372" s="112" t="s">
        <v>8</v>
      </c>
      <c r="F372" s="20">
        <v>33</v>
      </c>
      <c r="G372" s="13">
        <v>14.14</v>
      </c>
      <c r="H372" s="13">
        <f t="shared" si="83"/>
        <v>17.317258000000002</v>
      </c>
      <c r="I372" s="13">
        <f t="shared" si="84"/>
        <v>571.46951400000012</v>
      </c>
      <c r="J372" s="33"/>
      <c r="K372" s="34"/>
      <c r="L372" s="34"/>
      <c r="M372" s="32"/>
      <c r="N372" s="32"/>
    </row>
    <row r="373" spans="1:14" ht="60" x14ac:dyDescent="0.25">
      <c r="A373" s="164">
        <v>354</v>
      </c>
      <c r="B373" s="207"/>
      <c r="C373" s="113" t="s">
        <v>76</v>
      </c>
      <c r="D373" s="42" t="s">
        <v>77</v>
      </c>
      <c r="E373" s="112" t="s">
        <v>8</v>
      </c>
      <c r="F373" s="20">
        <v>33</v>
      </c>
      <c r="G373" s="13">
        <v>5.28</v>
      </c>
      <c r="H373" s="13">
        <f t="shared" si="83"/>
        <v>6.4664160000000006</v>
      </c>
      <c r="I373" s="13">
        <f t="shared" si="84"/>
        <v>213.39172800000003</v>
      </c>
      <c r="J373" s="33"/>
      <c r="K373" s="34"/>
      <c r="L373" s="34"/>
      <c r="M373" s="32"/>
      <c r="N373" s="32"/>
    </row>
    <row r="374" spans="1:14" ht="45" x14ac:dyDescent="0.25">
      <c r="A374" s="164">
        <v>355</v>
      </c>
      <c r="B374" s="207" t="s">
        <v>128</v>
      </c>
      <c r="C374" s="12" t="s">
        <v>68</v>
      </c>
      <c r="D374" s="25" t="s">
        <v>69</v>
      </c>
      <c r="E374" s="112" t="s">
        <v>8</v>
      </c>
      <c r="F374" s="20">
        <f>15.4*2.8-F376</f>
        <v>41.44</v>
      </c>
      <c r="G374" s="13">
        <v>8.64</v>
      </c>
      <c r="H374" s="13">
        <f t="shared" si="83"/>
        <v>10.581408000000001</v>
      </c>
      <c r="I374" s="13">
        <f t="shared" si="84"/>
        <v>438.49354752000005</v>
      </c>
      <c r="J374" s="33"/>
      <c r="K374" s="34"/>
      <c r="L374" s="34"/>
      <c r="M374" s="32"/>
      <c r="N374" s="32"/>
    </row>
    <row r="375" spans="1:14" ht="60" x14ac:dyDescent="0.25">
      <c r="A375" s="164">
        <v>356</v>
      </c>
      <c r="B375" s="207"/>
      <c r="C375" s="12" t="s">
        <v>70</v>
      </c>
      <c r="D375" s="25" t="s">
        <v>71</v>
      </c>
      <c r="E375" s="112" t="s">
        <v>8</v>
      </c>
      <c r="F375" s="20">
        <f>F374</f>
        <v>41.44</v>
      </c>
      <c r="G375" s="13">
        <v>4.21</v>
      </c>
      <c r="H375" s="13">
        <f t="shared" si="83"/>
        <v>5.1559869999999997</v>
      </c>
      <c r="I375" s="13">
        <f t="shared" si="84"/>
        <v>213.66410127999998</v>
      </c>
      <c r="J375" s="33"/>
      <c r="K375" s="34"/>
      <c r="L375" s="34"/>
      <c r="M375" s="32"/>
      <c r="N375" s="32"/>
    </row>
    <row r="376" spans="1:14" ht="75" x14ac:dyDescent="0.25">
      <c r="A376" s="164">
        <v>357</v>
      </c>
      <c r="B376" s="207"/>
      <c r="C376" s="12" t="s">
        <v>72</v>
      </c>
      <c r="D376" s="163" t="s">
        <v>73</v>
      </c>
      <c r="E376" s="112" t="s">
        <v>8</v>
      </c>
      <c r="F376" s="20">
        <f>0.8*2.1</f>
        <v>1.6800000000000002</v>
      </c>
      <c r="G376" s="13">
        <v>22.57</v>
      </c>
      <c r="H376" s="13">
        <f t="shared" si="83"/>
        <v>27.641479</v>
      </c>
      <c r="I376" s="13">
        <f t="shared" si="84"/>
        <v>46.437684720000007</v>
      </c>
      <c r="J376" s="33"/>
      <c r="K376" s="34"/>
      <c r="L376" s="34"/>
      <c r="M376" s="32"/>
      <c r="N376" s="32"/>
    </row>
    <row r="377" spans="1:14" ht="60" x14ac:dyDescent="0.25">
      <c r="A377" s="164">
        <v>358</v>
      </c>
      <c r="B377" s="207"/>
      <c r="C377" s="160" t="s">
        <v>74</v>
      </c>
      <c r="D377" s="163" t="s">
        <v>75</v>
      </c>
      <c r="E377" s="112" t="s">
        <v>8</v>
      </c>
      <c r="F377" s="20">
        <v>12.86</v>
      </c>
      <c r="G377" s="13">
        <v>14.14</v>
      </c>
      <c r="H377" s="13">
        <f t="shared" si="83"/>
        <v>17.317258000000002</v>
      </c>
      <c r="I377" s="13">
        <f t="shared" si="84"/>
        <v>222.69993788000002</v>
      </c>
      <c r="J377" s="33"/>
      <c r="K377" s="34"/>
      <c r="L377" s="34"/>
      <c r="M377" s="32"/>
      <c r="N377" s="32"/>
    </row>
    <row r="378" spans="1:14" ht="60" x14ac:dyDescent="0.25">
      <c r="A378" s="164">
        <v>359</v>
      </c>
      <c r="B378" s="207"/>
      <c r="C378" s="113" t="s">
        <v>76</v>
      </c>
      <c r="D378" s="42" t="s">
        <v>77</v>
      </c>
      <c r="E378" s="112" t="s">
        <v>8</v>
      </c>
      <c r="F378" s="20">
        <v>12.86</v>
      </c>
      <c r="G378" s="13">
        <v>5.28</v>
      </c>
      <c r="H378" s="13">
        <f t="shared" si="83"/>
        <v>6.4664160000000006</v>
      </c>
      <c r="I378" s="13">
        <f t="shared" si="84"/>
        <v>83.158109760000002</v>
      </c>
      <c r="J378" s="33"/>
      <c r="K378" s="34"/>
      <c r="L378" s="34"/>
      <c r="M378" s="32"/>
      <c r="N378" s="32"/>
    </row>
    <row r="379" spans="1:14" ht="45" x14ac:dyDescent="0.25">
      <c r="A379" s="164">
        <v>360</v>
      </c>
      <c r="B379" s="207" t="s">
        <v>129</v>
      </c>
      <c r="C379" s="12" t="s">
        <v>68</v>
      </c>
      <c r="D379" s="25" t="s">
        <v>69</v>
      </c>
      <c r="E379" s="112" t="s">
        <v>8</v>
      </c>
      <c r="F379" s="20">
        <f>10.6*2.8-F381</f>
        <v>27.999999999999996</v>
      </c>
      <c r="G379" s="13">
        <v>8.64</v>
      </c>
      <c r="H379" s="13">
        <f t="shared" si="83"/>
        <v>10.581408000000001</v>
      </c>
      <c r="I379" s="13">
        <f t="shared" si="84"/>
        <v>296.27942400000001</v>
      </c>
      <c r="J379" s="33"/>
      <c r="K379" s="34"/>
      <c r="L379" s="34"/>
      <c r="M379" s="32"/>
      <c r="N379" s="32"/>
    </row>
    <row r="380" spans="1:14" ht="60" x14ac:dyDescent="0.25">
      <c r="A380" s="164">
        <v>361</v>
      </c>
      <c r="B380" s="207"/>
      <c r="C380" s="12" t="s">
        <v>70</v>
      </c>
      <c r="D380" s="25" t="s">
        <v>71</v>
      </c>
      <c r="E380" s="112" t="s">
        <v>8</v>
      </c>
      <c r="F380" s="20">
        <f>F379</f>
        <v>27.999999999999996</v>
      </c>
      <c r="G380" s="13">
        <v>4.21</v>
      </c>
      <c r="H380" s="13">
        <f t="shared" si="83"/>
        <v>5.1559869999999997</v>
      </c>
      <c r="I380" s="13">
        <f t="shared" si="84"/>
        <v>144.36763599999998</v>
      </c>
      <c r="J380" s="33"/>
      <c r="K380" s="34"/>
      <c r="L380" s="34"/>
      <c r="M380" s="32"/>
      <c r="N380" s="32"/>
    </row>
    <row r="381" spans="1:14" ht="75" x14ac:dyDescent="0.25">
      <c r="A381" s="164">
        <v>362</v>
      </c>
      <c r="B381" s="207"/>
      <c r="C381" s="12" t="s">
        <v>72</v>
      </c>
      <c r="D381" s="163" t="s">
        <v>73</v>
      </c>
      <c r="E381" s="112" t="s">
        <v>8</v>
      </c>
      <c r="F381" s="20">
        <f>0.8*2.1</f>
        <v>1.6800000000000002</v>
      </c>
      <c r="G381" s="13">
        <v>22.57</v>
      </c>
      <c r="H381" s="13">
        <f t="shared" si="83"/>
        <v>27.641479</v>
      </c>
      <c r="I381" s="13">
        <f t="shared" si="84"/>
        <v>46.437684720000007</v>
      </c>
      <c r="J381" s="33"/>
      <c r="K381" s="34"/>
      <c r="L381" s="34"/>
      <c r="M381" s="32"/>
      <c r="N381" s="32"/>
    </row>
    <row r="382" spans="1:14" ht="60" x14ac:dyDescent="0.25">
      <c r="A382" s="164">
        <v>363</v>
      </c>
      <c r="B382" s="207"/>
      <c r="C382" s="160" t="s">
        <v>74</v>
      </c>
      <c r="D382" s="163" t="s">
        <v>75</v>
      </c>
      <c r="E382" s="112" t="s">
        <v>8</v>
      </c>
      <c r="F382" s="20">
        <v>6.77</v>
      </c>
      <c r="G382" s="13">
        <v>14.14</v>
      </c>
      <c r="H382" s="13">
        <f t="shared" si="83"/>
        <v>17.317258000000002</v>
      </c>
      <c r="I382" s="13">
        <f t="shared" si="84"/>
        <v>117.23783666000001</v>
      </c>
      <c r="J382" s="33"/>
      <c r="K382" s="34"/>
      <c r="L382" s="34"/>
      <c r="M382" s="32"/>
      <c r="N382" s="32"/>
    </row>
    <row r="383" spans="1:14" ht="60" x14ac:dyDescent="0.25">
      <c r="A383" s="164">
        <v>364</v>
      </c>
      <c r="B383" s="207"/>
      <c r="C383" s="113" t="s">
        <v>76</v>
      </c>
      <c r="D383" s="42" t="s">
        <v>77</v>
      </c>
      <c r="E383" s="112" t="s">
        <v>8</v>
      </c>
      <c r="F383" s="20">
        <v>6.77</v>
      </c>
      <c r="G383" s="13">
        <v>5.28</v>
      </c>
      <c r="H383" s="13">
        <f t="shared" si="83"/>
        <v>6.4664160000000006</v>
      </c>
      <c r="I383" s="13">
        <f t="shared" si="84"/>
        <v>43.777636319999999</v>
      </c>
      <c r="J383" s="33"/>
      <c r="K383" s="34"/>
      <c r="L383" s="34"/>
      <c r="M383" s="32"/>
      <c r="N383" s="32"/>
    </row>
    <row r="384" spans="1:14" ht="75" x14ac:dyDescent="0.25">
      <c r="A384" s="164">
        <v>365</v>
      </c>
      <c r="B384" s="207" t="s">
        <v>119</v>
      </c>
      <c r="C384" s="12" t="s">
        <v>72</v>
      </c>
      <c r="D384" s="163" t="s">
        <v>73</v>
      </c>
      <c r="E384" s="112" t="s">
        <v>8</v>
      </c>
      <c r="F384" s="20">
        <f>0.6*0.4</f>
        <v>0.24</v>
      </c>
      <c r="G384" s="13">
        <v>22.57</v>
      </c>
      <c r="H384" s="13">
        <f t="shared" ref="H384:H386" si="85">G384+G384*B$18</f>
        <v>27.641479</v>
      </c>
      <c r="I384" s="13">
        <f t="shared" ref="I384:I386" si="86">H384*F384</f>
        <v>6.6339549599999996</v>
      </c>
      <c r="J384" s="33"/>
      <c r="K384" s="34"/>
      <c r="L384" s="34"/>
      <c r="M384" s="32"/>
      <c r="N384" s="32"/>
    </row>
    <row r="385" spans="1:14" ht="60" x14ac:dyDescent="0.25">
      <c r="A385" s="164">
        <v>366</v>
      </c>
      <c r="B385" s="207"/>
      <c r="C385" s="160" t="s">
        <v>74</v>
      </c>
      <c r="D385" s="163" t="s">
        <v>75</v>
      </c>
      <c r="E385" s="112" t="s">
        <v>8</v>
      </c>
      <c r="F385" s="20">
        <v>2.57</v>
      </c>
      <c r="G385" s="13">
        <v>14.14</v>
      </c>
      <c r="H385" s="13">
        <f t="shared" si="85"/>
        <v>17.317258000000002</v>
      </c>
      <c r="I385" s="13">
        <f t="shared" si="86"/>
        <v>44.505353060000004</v>
      </c>
      <c r="J385" s="33"/>
      <c r="K385" s="34"/>
      <c r="L385" s="34"/>
      <c r="M385" s="32"/>
      <c r="N385" s="32"/>
    </row>
    <row r="386" spans="1:14" ht="60" x14ac:dyDescent="0.25">
      <c r="A386" s="164">
        <v>367</v>
      </c>
      <c r="B386" s="207"/>
      <c r="C386" s="113" t="s">
        <v>76</v>
      </c>
      <c r="D386" s="42" t="s">
        <v>77</v>
      </c>
      <c r="E386" s="112" t="s">
        <v>8</v>
      </c>
      <c r="F386" s="20">
        <v>2.57</v>
      </c>
      <c r="G386" s="13">
        <v>5.28</v>
      </c>
      <c r="H386" s="13">
        <f t="shared" si="85"/>
        <v>6.4664160000000006</v>
      </c>
      <c r="I386" s="13">
        <f t="shared" si="86"/>
        <v>16.618689119999999</v>
      </c>
      <c r="J386" s="33"/>
      <c r="K386" s="34"/>
      <c r="L386" s="34"/>
      <c r="M386" s="32"/>
      <c r="N386" s="32"/>
    </row>
    <row r="387" spans="1:14" ht="75" x14ac:dyDescent="0.25">
      <c r="A387" s="164">
        <v>368</v>
      </c>
      <c r="B387" s="207" t="s">
        <v>120</v>
      </c>
      <c r="C387" s="12" t="s">
        <v>72</v>
      </c>
      <c r="D387" s="163" t="s">
        <v>73</v>
      </c>
      <c r="E387" s="112" t="s">
        <v>8</v>
      </c>
      <c r="F387" s="20">
        <f>0.8*2.1</f>
        <v>1.6800000000000002</v>
      </c>
      <c r="G387" s="13">
        <v>22.57</v>
      </c>
      <c r="H387" s="13">
        <f t="shared" ref="H387:H389" si="87">G387+G387*B$18</f>
        <v>27.641479</v>
      </c>
      <c r="I387" s="13">
        <f t="shared" ref="I387:I389" si="88">H387*F387</f>
        <v>46.437684720000007</v>
      </c>
      <c r="J387" s="33"/>
      <c r="K387" s="34"/>
      <c r="L387" s="34"/>
      <c r="M387" s="32"/>
      <c r="N387" s="32"/>
    </row>
    <row r="388" spans="1:14" ht="60" x14ac:dyDescent="0.25">
      <c r="A388" s="164">
        <v>369</v>
      </c>
      <c r="B388" s="207"/>
      <c r="C388" s="160" t="s">
        <v>74</v>
      </c>
      <c r="D388" s="163" t="s">
        <v>75</v>
      </c>
      <c r="E388" s="112" t="s">
        <v>8</v>
      </c>
      <c r="F388" s="20">
        <f>7.7</f>
        <v>7.7</v>
      </c>
      <c r="G388" s="13">
        <v>14.14</v>
      </c>
      <c r="H388" s="13">
        <f t="shared" si="87"/>
        <v>17.317258000000002</v>
      </c>
      <c r="I388" s="13">
        <f t="shared" si="88"/>
        <v>133.34288660000001</v>
      </c>
      <c r="J388" s="33"/>
      <c r="K388" s="34"/>
      <c r="L388" s="34"/>
      <c r="M388" s="32"/>
      <c r="N388" s="32"/>
    </row>
    <row r="389" spans="1:14" ht="60" x14ac:dyDescent="0.25">
      <c r="A389" s="164">
        <v>370</v>
      </c>
      <c r="B389" s="207"/>
      <c r="C389" s="113" t="s">
        <v>76</v>
      </c>
      <c r="D389" s="42" t="s">
        <v>77</v>
      </c>
      <c r="E389" s="112" t="s">
        <v>8</v>
      </c>
      <c r="F389" s="20">
        <v>7.7</v>
      </c>
      <c r="G389" s="13">
        <v>5.28</v>
      </c>
      <c r="H389" s="13">
        <f t="shared" si="87"/>
        <v>6.4664160000000006</v>
      </c>
      <c r="I389" s="13">
        <f t="shared" si="88"/>
        <v>49.791403200000005</v>
      </c>
      <c r="J389" s="33"/>
      <c r="K389" s="34"/>
      <c r="L389" s="34"/>
      <c r="M389" s="32"/>
      <c r="N389" s="32"/>
    </row>
    <row r="390" spans="1:14" ht="75" x14ac:dyDescent="0.25">
      <c r="A390" s="164">
        <v>371</v>
      </c>
      <c r="B390" s="207" t="s">
        <v>123</v>
      </c>
      <c r="C390" s="12" t="s">
        <v>72</v>
      </c>
      <c r="D390" s="163" t="s">
        <v>73</v>
      </c>
      <c r="E390" s="112" t="s">
        <v>8</v>
      </c>
      <c r="F390" s="20">
        <f>2*0.8*2.1+1*1</f>
        <v>4.3600000000000003</v>
      </c>
      <c r="G390" s="13">
        <v>22.57</v>
      </c>
      <c r="H390" s="13">
        <f t="shared" ref="H390:H392" si="89">G390+G390*B$18</f>
        <v>27.641479</v>
      </c>
      <c r="I390" s="13">
        <f t="shared" ref="I390:I392" si="90">H390*F390</f>
        <v>120.51684844</v>
      </c>
      <c r="J390" s="33"/>
      <c r="K390" s="34"/>
      <c r="L390" s="34"/>
      <c r="M390" s="32"/>
      <c r="N390" s="32"/>
    </row>
    <row r="391" spans="1:14" ht="60" x14ac:dyDescent="0.25">
      <c r="A391" s="164">
        <v>372</v>
      </c>
      <c r="B391" s="207"/>
      <c r="C391" s="160" t="s">
        <v>74</v>
      </c>
      <c r="D391" s="163" t="s">
        <v>75</v>
      </c>
      <c r="E391" s="112" t="s">
        <v>8</v>
      </c>
      <c r="F391" s="20">
        <v>17.21</v>
      </c>
      <c r="G391" s="13">
        <v>14.14</v>
      </c>
      <c r="H391" s="13">
        <f t="shared" si="89"/>
        <v>17.317258000000002</v>
      </c>
      <c r="I391" s="13">
        <f t="shared" si="90"/>
        <v>298.03001018000003</v>
      </c>
      <c r="J391" s="33"/>
      <c r="K391" s="34"/>
      <c r="L391" s="34"/>
      <c r="M391" s="32"/>
      <c r="N391" s="32"/>
    </row>
    <row r="392" spans="1:14" ht="60" x14ac:dyDescent="0.25">
      <c r="A392" s="164">
        <v>373</v>
      </c>
      <c r="B392" s="207"/>
      <c r="C392" s="113" t="s">
        <v>76</v>
      </c>
      <c r="D392" s="42" t="s">
        <v>77</v>
      </c>
      <c r="E392" s="112" t="s">
        <v>8</v>
      </c>
      <c r="F392" s="20">
        <v>17.21</v>
      </c>
      <c r="G392" s="13">
        <v>5.28</v>
      </c>
      <c r="H392" s="13">
        <f t="shared" si="89"/>
        <v>6.4664160000000006</v>
      </c>
      <c r="I392" s="13">
        <f t="shared" si="90"/>
        <v>111.28701936000002</v>
      </c>
      <c r="J392" s="33"/>
      <c r="K392" s="34"/>
      <c r="L392" s="34"/>
      <c r="M392" s="32"/>
      <c r="N392" s="32"/>
    </row>
    <row r="393" spans="1:14" ht="45" x14ac:dyDescent="0.25">
      <c r="A393" s="164">
        <v>374</v>
      </c>
      <c r="B393" s="207" t="s">
        <v>121</v>
      </c>
      <c r="C393" s="12" t="s">
        <v>68</v>
      </c>
      <c r="D393" s="25" t="s">
        <v>69</v>
      </c>
      <c r="E393" s="112" t="s">
        <v>8</v>
      </c>
      <c r="F393" s="20">
        <f>11.15*2.8-F395</f>
        <v>28.099999999999998</v>
      </c>
      <c r="G393" s="13">
        <v>8.64</v>
      </c>
      <c r="H393" s="13">
        <f>G393+G393*B$18</f>
        <v>10.581408000000001</v>
      </c>
      <c r="I393" s="13">
        <f>H393*F393</f>
        <v>297.3375648</v>
      </c>
      <c r="J393" s="33"/>
      <c r="K393" s="34"/>
      <c r="L393" s="34"/>
      <c r="M393" s="32"/>
      <c r="N393" s="32"/>
    </row>
    <row r="394" spans="1:14" ht="60" x14ac:dyDescent="0.25">
      <c r="A394" s="164">
        <v>375</v>
      </c>
      <c r="B394" s="207"/>
      <c r="C394" s="12" t="s">
        <v>70</v>
      </c>
      <c r="D394" s="25" t="s">
        <v>71</v>
      </c>
      <c r="E394" s="112" t="s">
        <v>8</v>
      </c>
      <c r="F394" s="20">
        <f>F393</f>
        <v>28.099999999999998</v>
      </c>
      <c r="G394" s="13">
        <v>4.21</v>
      </c>
      <c r="H394" s="13">
        <f>G394+G394*B$18</f>
        <v>5.1559869999999997</v>
      </c>
      <c r="I394" s="13">
        <f>H394*F394</f>
        <v>144.88323469999997</v>
      </c>
      <c r="J394" s="33"/>
      <c r="K394" s="34"/>
      <c r="L394" s="34"/>
      <c r="M394" s="32"/>
      <c r="N394" s="32"/>
    </row>
    <row r="395" spans="1:14" ht="75" x14ac:dyDescent="0.25">
      <c r="A395" s="164">
        <v>376</v>
      </c>
      <c r="B395" s="207"/>
      <c r="C395" s="12" t="s">
        <v>72</v>
      </c>
      <c r="D395" s="163" t="s">
        <v>73</v>
      </c>
      <c r="E395" s="112" t="s">
        <v>8</v>
      </c>
      <c r="F395" s="20">
        <f>0.8*2.1+1.2*1.2</f>
        <v>3.12</v>
      </c>
      <c r="G395" s="13">
        <v>22.57</v>
      </c>
      <c r="H395" s="13">
        <f>G395+G395*B$18</f>
        <v>27.641479</v>
      </c>
      <c r="I395" s="13">
        <f>H395*F395</f>
        <v>86.241414480000003</v>
      </c>
      <c r="J395" s="33"/>
      <c r="K395" s="34"/>
      <c r="L395" s="34"/>
      <c r="M395" s="32"/>
      <c r="N395" s="32"/>
    </row>
    <row r="396" spans="1:14" ht="60" x14ac:dyDescent="0.25">
      <c r="A396" s="164">
        <v>377</v>
      </c>
      <c r="B396" s="207"/>
      <c r="C396" s="160" t="s">
        <v>74</v>
      </c>
      <c r="D396" s="163" t="s">
        <v>75</v>
      </c>
      <c r="E396" s="112" t="s">
        <v>8</v>
      </c>
      <c r="F396" s="20">
        <v>7.04</v>
      </c>
      <c r="G396" s="13">
        <v>14.14</v>
      </c>
      <c r="H396" s="13">
        <f>G396+G396*B$18</f>
        <v>17.317258000000002</v>
      </c>
      <c r="I396" s="13">
        <f>H396*F396</f>
        <v>121.91349632000002</v>
      </c>
      <c r="J396" s="33"/>
      <c r="K396" s="34"/>
      <c r="L396" s="34"/>
      <c r="M396" s="32"/>
      <c r="N396" s="32"/>
    </row>
    <row r="397" spans="1:14" ht="60" x14ac:dyDescent="0.25">
      <c r="A397" s="164">
        <v>378</v>
      </c>
      <c r="B397" s="207"/>
      <c r="C397" s="113" t="s">
        <v>76</v>
      </c>
      <c r="D397" s="42" t="s">
        <v>77</v>
      </c>
      <c r="E397" s="112" t="s">
        <v>8</v>
      </c>
      <c r="F397" s="20">
        <v>7.04</v>
      </c>
      <c r="G397" s="13">
        <v>5.28</v>
      </c>
      <c r="H397" s="13">
        <f>G397+G397*B$18</f>
        <v>6.4664160000000006</v>
      </c>
      <c r="I397" s="13">
        <f>H397*F397</f>
        <v>45.523568640000008</v>
      </c>
      <c r="J397" s="33"/>
      <c r="K397" s="34"/>
      <c r="L397" s="34"/>
      <c r="M397" s="32"/>
      <c r="N397" s="32"/>
    </row>
    <row r="398" spans="1:14" ht="60" x14ac:dyDescent="0.25">
      <c r="A398" s="164">
        <v>379</v>
      </c>
      <c r="B398" s="207" t="s">
        <v>125</v>
      </c>
      <c r="C398" s="160" t="s">
        <v>74</v>
      </c>
      <c r="D398" s="163" t="s">
        <v>75</v>
      </c>
      <c r="E398" s="112" t="s">
        <v>8</v>
      </c>
      <c r="F398" s="20">
        <v>162.33000000000001</v>
      </c>
      <c r="G398" s="13">
        <v>14.14</v>
      </c>
      <c r="H398" s="13">
        <f t="shared" ref="H398:H399" si="91">G398+G398*B$18</f>
        <v>17.317258000000002</v>
      </c>
      <c r="I398" s="13">
        <f t="shared" ref="I398:I399" si="92">H398*F398</f>
        <v>2811.1104911400007</v>
      </c>
      <c r="J398" s="33"/>
      <c r="K398" s="34"/>
      <c r="L398" s="34"/>
      <c r="M398" s="32"/>
      <c r="N398" s="32"/>
    </row>
    <row r="399" spans="1:14" ht="60" x14ac:dyDescent="0.25">
      <c r="A399" s="164">
        <v>380</v>
      </c>
      <c r="B399" s="207"/>
      <c r="C399" s="113" t="s">
        <v>76</v>
      </c>
      <c r="D399" s="42" t="s">
        <v>77</v>
      </c>
      <c r="E399" s="112" t="s">
        <v>8</v>
      </c>
      <c r="F399" s="20">
        <v>162.33000000000001</v>
      </c>
      <c r="G399" s="13">
        <v>5.28</v>
      </c>
      <c r="H399" s="13">
        <f t="shared" si="91"/>
        <v>6.4664160000000006</v>
      </c>
      <c r="I399" s="13">
        <f t="shared" si="92"/>
        <v>1049.6933092800002</v>
      </c>
      <c r="J399" s="33"/>
      <c r="K399" s="34"/>
      <c r="L399" s="34"/>
      <c r="M399" s="32"/>
      <c r="N399" s="32"/>
    </row>
    <row r="400" spans="1:14" ht="45" x14ac:dyDescent="0.25">
      <c r="A400" s="164">
        <v>381</v>
      </c>
      <c r="B400" s="207"/>
      <c r="C400" s="12" t="s">
        <v>68</v>
      </c>
      <c r="D400" s="25" t="s">
        <v>69</v>
      </c>
      <c r="E400" s="112" t="s">
        <v>8</v>
      </c>
      <c r="F400" s="20">
        <f>(49.48+5.13+15.95+112.3+8.45)*3.2+(13.5*3.9)+(44*0.6)*2</f>
        <v>717.64199999999994</v>
      </c>
      <c r="G400" s="13">
        <v>8.64</v>
      </c>
      <c r="H400" s="13">
        <f t="shared" ref="H400:H404" si="93">G400+G400*B$18</f>
        <v>10.581408000000001</v>
      </c>
      <c r="I400" s="13">
        <f t="shared" ref="I400:I404" si="94">H400*F400</f>
        <v>7593.6627999360007</v>
      </c>
      <c r="J400" s="33"/>
      <c r="K400" s="34"/>
      <c r="L400" s="34"/>
      <c r="M400" s="32"/>
      <c r="N400" s="32"/>
    </row>
    <row r="401" spans="1:14" ht="60" x14ac:dyDescent="0.25">
      <c r="A401" s="164">
        <v>382</v>
      </c>
      <c r="B401" s="207"/>
      <c r="C401" s="12" t="s">
        <v>70</v>
      </c>
      <c r="D401" s="25" t="s">
        <v>71</v>
      </c>
      <c r="E401" s="112" t="s">
        <v>8</v>
      </c>
      <c r="F401" s="20">
        <f>F400</f>
        <v>717.64199999999994</v>
      </c>
      <c r="G401" s="13">
        <v>4.21</v>
      </c>
      <c r="H401" s="13">
        <f t="shared" si="93"/>
        <v>5.1559869999999997</v>
      </c>
      <c r="I401" s="13">
        <f t="shared" si="94"/>
        <v>3700.1528226539995</v>
      </c>
      <c r="J401" s="33"/>
      <c r="K401" s="34"/>
      <c r="L401" s="34"/>
      <c r="M401" s="32"/>
      <c r="N401" s="32"/>
    </row>
    <row r="402" spans="1:14" ht="45" x14ac:dyDescent="0.25">
      <c r="A402" s="164">
        <v>383</v>
      </c>
      <c r="B402" s="207" t="s">
        <v>124</v>
      </c>
      <c r="C402" s="12" t="s">
        <v>68</v>
      </c>
      <c r="D402" s="25" t="s">
        <v>69</v>
      </c>
      <c r="E402" s="112" t="s">
        <v>8</v>
      </c>
      <c r="F402" s="20">
        <f>(26.15+5.13)*3.2+(29.9+3.11+0.15+0.15+2.4)*1.15</f>
        <v>141.16249999999999</v>
      </c>
      <c r="G402" s="13">
        <v>8.64</v>
      </c>
      <c r="H402" s="13">
        <f t="shared" si="93"/>
        <v>10.581408000000001</v>
      </c>
      <c r="I402" s="13">
        <f t="shared" si="94"/>
        <v>1493.6980068000003</v>
      </c>
      <c r="J402" s="33"/>
      <c r="K402" s="34"/>
      <c r="L402" s="34"/>
      <c r="M402" s="32"/>
      <c r="N402" s="32"/>
    </row>
    <row r="403" spans="1:14" ht="60" x14ac:dyDescent="0.25">
      <c r="A403" s="164">
        <v>384</v>
      </c>
      <c r="B403" s="207"/>
      <c r="C403" s="12" t="s">
        <v>70</v>
      </c>
      <c r="D403" s="25" t="s">
        <v>71</v>
      </c>
      <c r="E403" s="112" t="s">
        <v>8</v>
      </c>
      <c r="F403" s="20">
        <f>F402</f>
        <v>141.16249999999999</v>
      </c>
      <c r="G403" s="13">
        <v>4.21</v>
      </c>
      <c r="H403" s="13">
        <f t="shared" si="93"/>
        <v>5.1559869999999997</v>
      </c>
      <c r="I403" s="13">
        <f t="shared" si="94"/>
        <v>727.83201488749989</v>
      </c>
      <c r="J403" s="33"/>
      <c r="K403" s="34"/>
      <c r="L403" s="34"/>
      <c r="M403" s="32"/>
      <c r="N403" s="32"/>
    </row>
    <row r="404" spans="1:14" ht="75" x14ac:dyDescent="0.25">
      <c r="A404" s="164">
        <v>385</v>
      </c>
      <c r="B404" s="207"/>
      <c r="C404" s="12" t="s">
        <v>72</v>
      </c>
      <c r="D404" s="163" t="s">
        <v>73</v>
      </c>
      <c r="E404" s="112" t="s">
        <v>8</v>
      </c>
      <c r="F404" s="20">
        <f>29.9*1.15+3.05*2.3</f>
        <v>41.4</v>
      </c>
      <c r="G404" s="13">
        <v>22.57</v>
      </c>
      <c r="H404" s="13">
        <f t="shared" si="93"/>
        <v>27.641479</v>
      </c>
      <c r="I404" s="13">
        <f t="shared" si="94"/>
        <v>1144.3572305999999</v>
      </c>
      <c r="J404" s="33"/>
      <c r="K404" s="34"/>
      <c r="L404" s="34"/>
      <c r="M404" s="32"/>
      <c r="N404" s="32"/>
    </row>
    <row r="405" spans="1:14" ht="45" customHeight="1" x14ac:dyDescent="0.25">
      <c r="A405" s="164">
        <v>386</v>
      </c>
      <c r="B405" s="208" t="s">
        <v>130</v>
      </c>
      <c r="C405" s="208"/>
      <c r="D405" s="208"/>
      <c r="E405" s="208"/>
      <c r="F405" s="208"/>
      <c r="G405" s="208"/>
      <c r="H405" s="208"/>
      <c r="I405" s="30">
        <f>SUM(I406:I478)</f>
        <v>31745.382397803754</v>
      </c>
      <c r="J405" s="33"/>
      <c r="K405" s="34"/>
      <c r="L405" s="34"/>
      <c r="M405" s="32"/>
      <c r="N405" s="32"/>
    </row>
    <row r="406" spans="1:14" ht="45" customHeight="1" x14ac:dyDescent="0.25">
      <c r="A406" s="164">
        <v>387</v>
      </c>
      <c r="B406" s="112"/>
      <c r="C406" s="150" t="s">
        <v>155</v>
      </c>
      <c r="D406" s="151" t="s">
        <v>154</v>
      </c>
      <c r="E406" s="112" t="s">
        <v>8</v>
      </c>
      <c r="F406" s="112">
        <v>2.88</v>
      </c>
      <c r="G406" s="112">
        <v>312.06</v>
      </c>
      <c r="H406" s="13">
        <f t="shared" ref="H406" si="95">G406+G406*B$18</f>
        <v>382.17988200000002</v>
      </c>
      <c r="I406" s="13">
        <f t="shared" ref="I406" si="96">H406*F406</f>
        <v>1100.6780601600001</v>
      </c>
      <c r="J406" s="33"/>
      <c r="K406" s="34"/>
      <c r="L406" s="34"/>
      <c r="M406" s="32"/>
      <c r="N406" s="32"/>
    </row>
    <row r="407" spans="1:14" ht="45" customHeight="1" x14ac:dyDescent="0.25">
      <c r="A407" s="164">
        <v>388</v>
      </c>
      <c r="B407" s="209" t="s">
        <v>104</v>
      </c>
      <c r="C407" s="112" t="s">
        <v>150</v>
      </c>
      <c r="D407" s="163" t="s">
        <v>147</v>
      </c>
      <c r="E407" s="112" t="s">
        <v>146</v>
      </c>
      <c r="F407" s="112">
        <v>4</v>
      </c>
      <c r="G407" s="112">
        <v>12</v>
      </c>
      <c r="H407" s="13">
        <f t="shared" ref="H407:H408" si="97">G407+G407*B$18</f>
        <v>14.696400000000001</v>
      </c>
      <c r="I407" s="13">
        <f t="shared" ref="I407:I408" si="98">H407*F407</f>
        <v>58.785600000000002</v>
      </c>
      <c r="J407" s="33"/>
      <c r="K407" s="34"/>
      <c r="L407" s="34"/>
      <c r="M407" s="32"/>
      <c r="N407" s="32"/>
    </row>
    <row r="408" spans="1:14" ht="45" customHeight="1" x14ac:dyDescent="0.25">
      <c r="A408" s="164">
        <v>389</v>
      </c>
      <c r="B408" s="209"/>
      <c r="C408" s="112" t="s">
        <v>149</v>
      </c>
      <c r="D408" s="163" t="s">
        <v>148</v>
      </c>
      <c r="E408" s="112" t="s">
        <v>19</v>
      </c>
      <c r="F408" s="112">
        <v>4</v>
      </c>
      <c r="G408" s="142">
        <v>6.52</v>
      </c>
      <c r="H408" s="13">
        <f t="shared" si="97"/>
        <v>7.9850439999999994</v>
      </c>
      <c r="I408" s="13">
        <f t="shared" si="98"/>
        <v>31.940175999999997</v>
      </c>
      <c r="J408" s="33"/>
      <c r="K408" s="34"/>
      <c r="L408" s="34"/>
      <c r="M408" s="32"/>
      <c r="N408" s="32"/>
    </row>
    <row r="409" spans="1:14" ht="45" x14ac:dyDescent="0.25">
      <c r="A409" s="164">
        <v>390</v>
      </c>
      <c r="B409" s="207" t="s">
        <v>114</v>
      </c>
      <c r="C409" s="12" t="s">
        <v>68</v>
      </c>
      <c r="D409" s="25" t="s">
        <v>69</v>
      </c>
      <c r="E409" s="112" t="s">
        <v>8</v>
      </c>
      <c r="F409" s="20">
        <f>12.87*3-F411</f>
        <v>35.49</v>
      </c>
      <c r="G409" s="13">
        <v>8.64</v>
      </c>
      <c r="H409" s="13">
        <f t="shared" ref="H409:H440" si="99">G409+G409*B$18</f>
        <v>10.581408000000001</v>
      </c>
      <c r="I409" s="13">
        <f t="shared" ref="I409:I440" si="100">H409*F409</f>
        <v>375.53416992000007</v>
      </c>
      <c r="J409" s="33"/>
      <c r="K409" s="34"/>
      <c r="L409" s="34"/>
      <c r="M409" s="32"/>
      <c r="N409" s="32"/>
    </row>
    <row r="410" spans="1:14" ht="60" x14ac:dyDescent="0.25">
      <c r="A410" s="164">
        <v>391</v>
      </c>
      <c r="B410" s="207"/>
      <c r="C410" s="12" t="s">
        <v>70</v>
      </c>
      <c r="D410" s="25" t="s">
        <v>71</v>
      </c>
      <c r="E410" s="112" t="s">
        <v>8</v>
      </c>
      <c r="F410" s="20">
        <f>F409</f>
        <v>35.49</v>
      </c>
      <c r="G410" s="13">
        <v>4.21</v>
      </c>
      <c r="H410" s="13">
        <f t="shared" si="99"/>
        <v>5.1559869999999997</v>
      </c>
      <c r="I410" s="13">
        <f t="shared" si="100"/>
        <v>182.98597863000001</v>
      </c>
      <c r="J410" s="33"/>
      <c r="K410" s="34"/>
      <c r="L410" s="34"/>
      <c r="M410" s="32"/>
      <c r="N410" s="32"/>
    </row>
    <row r="411" spans="1:14" ht="75" x14ac:dyDescent="0.25">
      <c r="A411" s="164">
        <v>392</v>
      </c>
      <c r="B411" s="207"/>
      <c r="C411" s="12" t="s">
        <v>72</v>
      </c>
      <c r="D411" s="163" t="s">
        <v>73</v>
      </c>
      <c r="E411" s="112" t="s">
        <v>8</v>
      </c>
      <c r="F411" s="20">
        <f>1.2*1.2+0.8*2.1</f>
        <v>3.12</v>
      </c>
      <c r="G411" s="13">
        <v>22.57</v>
      </c>
      <c r="H411" s="13">
        <f t="shared" si="99"/>
        <v>27.641479</v>
      </c>
      <c r="I411" s="13">
        <f t="shared" si="100"/>
        <v>86.241414480000003</v>
      </c>
      <c r="J411" s="33"/>
      <c r="K411" s="34"/>
      <c r="L411" s="34"/>
      <c r="M411" s="32"/>
      <c r="N411" s="32"/>
    </row>
    <row r="412" spans="1:14" ht="60" x14ac:dyDescent="0.25">
      <c r="A412" s="164">
        <v>393</v>
      </c>
      <c r="B412" s="207"/>
      <c r="C412" s="160" t="s">
        <v>74</v>
      </c>
      <c r="D412" s="163" t="s">
        <v>75</v>
      </c>
      <c r="E412" s="112" t="s">
        <v>8</v>
      </c>
      <c r="F412" s="20">
        <v>10.23</v>
      </c>
      <c r="G412" s="13">
        <v>14.14</v>
      </c>
      <c r="H412" s="13">
        <f t="shared" si="99"/>
        <v>17.317258000000002</v>
      </c>
      <c r="I412" s="13">
        <f t="shared" si="100"/>
        <v>177.15554934000002</v>
      </c>
      <c r="J412" s="33"/>
      <c r="K412" s="34"/>
      <c r="L412" s="34"/>
      <c r="M412" s="32"/>
      <c r="N412" s="32"/>
    </row>
    <row r="413" spans="1:14" ht="60" x14ac:dyDescent="0.25">
      <c r="A413" s="164">
        <v>394</v>
      </c>
      <c r="B413" s="207"/>
      <c r="C413" s="113" t="s">
        <v>76</v>
      </c>
      <c r="D413" s="42" t="s">
        <v>77</v>
      </c>
      <c r="E413" s="112" t="s">
        <v>8</v>
      </c>
      <c r="F413" s="20">
        <v>10.23</v>
      </c>
      <c r="G413" s="13">
        <v>5.28</v>
      </c>
      <c r="H413" s="13">
        <f t="shared" si="99"/>
        <v>6.4664160000000006</v>
      </c>
      <c r="I413" s="13">
        <f t="shared" si="100"/>
        <v>66.151435680000006</v>
      </c>
      <c r="J413" s="33"/>
      <c r="K413" s="34"/>
      <c r="L413" s="34"/>
      <c r="M413" s="32"/>
      <c r="N413" s="32"/>
    </row>
    <row r="414" spans="1:14" ht="45" x14ac:dyDescent="0.25">
      <c r="A414" s="164">
        <v>395</v>
      </c>
      <c r="B414" s="207" t="s">
        <v>115</v>
      </c>
      <c r="C414" s="12" t="s">
        <v>68</v>
      </c>
      <c r="D414" s="25" t="s">
        <v>69</v>
      </c>
      <c r="E414" s="112" t="s">
        <v>8</v>
      </c>
      <c r="F414" s="20">
        <f>2.68*3-F416</f>
        <v>6.7800000000000011</v>
      </c>
      <c r="G414" s="13">
        <v>8.64</v>
      </c>
      <c r="H414" s="13">
        <f t="shared" si="99"/>
        <v>10.581408000000001</v>
      </c>
      <c r="I414" s="13">
        <f t="shared" si="100"/>
        <v>71.741946240000019</v>
      </c>
      <c r="J414" s="33"/>
      <c r="K414" s="34"/>
      <c r="L414" s="34"/>
      <c r="M414" s="32"/>
      <c r="N414" s="32"/>
    </row>
    <row r="415" spans="1:14" ht="60" x14ac:dyDescent="0.25">
      <c r="A415" s="164">
        <v>396</v>
      </c>
      <c r="B415" s="207"/>
      <c r="C415" s="12" t="s">
        <v>70</v>
      </c>
      <c r="D415" s="25" t="s">
        <v>71</v>
      </c>
      <c r="E415" s="112" t="s">
        <v>8</v>
      </c>
      <c r="F415" s="20">
        <f>F414</f>
        <v>6.7800000000000011</v>
      </c>
      <c r="G415" s="13">
        <v>4.21</v>
      </c>
      <c r="H415" s="13">
        <f t="shared" si="99"/>
        <v>5.1559869999999997</v>
      </c>
      <c r="I415" s="13">
        <f t="shared" si="100"/>
        <v>34.957591860000001</v>
      </c>
      <c r="J415" s="33"/>
      <c r="K415" s="34"/>
      <c r="L415" s="34"/>
      <c r="M415" s="32"/>
      <c r="N415" s="32"/>
    </row>
    <row r="416" spans="1:14" ht="75" x14ac:dyDescent="0.25">
      <c r="A416" s="164">
        <v>397</v>
      </c>
      <c r="B416" s="207"/>
      <c r="C416" s="12" t="s">
        <v>72</v>
      </c>
      <c r="D416" s="163" t="s">
        <v>73</v>
      </c>
      <c r="E416" s="112" t="s">
        <v>8</v>
      </c>
      <c r="F416" s="20">
        <f>0.6*2.1</f>
        <v>1.26</v>
      </c>
      <c r="G416" s="13">
        <v>22.57</v>
      </c>
      <c r="H416" s="13">
        <f t="shared" si="99"/>
        <v>27.641479</v>
      </c>
      <c r="I416" s="13">
        <f t="shared" si="100"/>
        <v>34.828263540000002</v>
      </c>
      <c r="J416" s="33"/>
      <c r="K416" s="34"/>
      <c r="L416" s="34"/>
      <c r="M416" s="32"/>
      <c r="N416" s="32"/>
    </row>
    <row r="417" spans="1:14" ht="60" x14ac:dyDescent="0.25">
      <c r="A417" s="164">
        <v>398</v>
      </c>
      <c r="B417" s="207"/>
      <c r="C417" s="160" t="s">
        <v>74</v>
      </c>
      <c r="D417" s="163" t="s">
        <v>75</v>
      </c>
      <c r="E417" s="112" t="s">
        <v>8</v>
      </c>
      <c r="F417" s="20">
        <v>2.64</v>
      </c>
      <c r="G417" s="13">
        <v>14.14</v>
      </c>
      <c r="H417" s="13">
        <f t="shared" si="99"/>
        <v>17.317258000000002</v>
      </c>
      <c r="I417" s="13">
        <f t="shared" si="100"/>
        <v>45.717561120000006</v>
      </c>
      <c r="J417" s="33"/>
      <c r="K417" s="34"/>
      <c r="L417" s="34"/>
      <c r="M417" s="32"/>
      <c r="N417" s="32"/>
    </row>
    <row r="418" spans="1:14" ht="60" x14ac:dyDescent="0.25">
      <c r="A418" s="164">
        <v>399</v>
      </c>
      <c r="B418" s="207"/>
      <c r="C418" s="113" t="s">
        <v>76</v>
      </c>
      <c r="D418" s="42" t="s">
        <v>77</v>
      </c>
      <c r="E418" s="112" t="s">
        <v>8</v>
      </c>
      <c r="F418" s="20">
        <v>2.64</v>
      </c>
      <c r="G418" s="13">
        <v>5.28</v>
      </c>
      <c r="H418" s="13">
        <f t="shared" si="99"/>
        <v>6.4664160000000006</v>
      </c>
      <c r="I418" s="13">
        <f t="shared" si="100"/>
        <v>17.071338240000003</v>
      </c>
      <c r="J418" s="33"/>
      <c r="K418" s="34"/>
      <c r="L418" s="34"/>
      <c r="M418" s="32"/>
      <c r="N418" s="32"/>
    </row>
    <row r="419" spans="1:14" ht="45" x14ac:dyDescent="0.25">
      <c r="A419" s="164">
        <v>400</v>
      </c>
      <c r="B419" s="207" t="s">
        <v>103</v>
      </c>
      <c r="C419" s="12" t="s">
        <v>68</v>
      </c>
      <c r="D419" s="25" t="s">
        <v>69</v>
      </c>
      <c r="E419" s="112" t="s">
        <v>8</v>
      </c>
      <c r="F419" s="20">
        <f>17*3-F421</f>
        <v>46.92</v>
      </c>
      <c r="G419" s="13">
        <v>8.64</v>
      </c>
      <c r="H419" s="13">
        <f t="shared" si="99"/>
        <v>10.581408000000001</v>
      </c>
      <c r="I419" s="13">
        <f t="shared" si="100"/>
        <v>496.47966336000007</v>
      </c>
      <c r="J419" s="33"/>
      <c r="K419" s="34"/>
      <c r="L419" s="34"/>
      <c r="M419" s="32"/>
      <c r="N419" s="32"/>
    </row>
    <row r="420" spans="1:14" ht="60" x14ac:dyDescent="0.25">
      <c r="A420" s="164">
        <v>401</v>
      </c>
      <c r="B420" s="207"/>
      <c r="C420" s="12" t="s">
        <v>70</v>
      </c>
      <c r="D420" s="25" t="s">
        <v>71</v>
      </c>
      <c r="E420" s="112" t="s">
        <v>8</v>
      </c>
      <c r="F420" s="20">
        <f>F419</f>
        <v>46.92</v>
      </c>
      <c r="G420" s="13">
        <v>4.21</v>
      </c>
      <c r="H420" s="13">
        <f t="shared" si="99"/>
        <v>5.1559869999999997</v>
      </c>
      <c r="I420" s="13">
        <f t="shared" si="100"/>
        <v>241.91891003999999</v>
      </c>
      <c r="J420" s="33"/>
      <c r="K420" s="34"/>
      <c r="L420" s="34"/>
      <c r="M420" s="32"/>
      <c r="N420" s="32"/>
    </row>
    <row r="421" spans="1:14" ht="75" x14ac:dyDescent="0.25">
      <c r="A421" s="164">
        <v>402</v>
      </c>
      <c r="B421" s="207"/>
      <c r="C421" s="12" t="s">
        <v>72</v>
      </c>
      <c r="D421" s="163" t="s">
        <v>73</v>
      </c>
      <c r="E421" s="112" t="s">
        <v>8</v>
      </c>
      <c r="F421" s="20">
        <f>2*1.2+0.8*2.1</f>
        <v>4.08</v>
      </c>
      <c r="G421" s="13">
        <v>22.57</v>
      </c>
      <c r="H421" s="13">
        <f t="shared" si="99"/>
        <v>27.641479</v>
      </c>
      <c r="I421" s="13">
        <f t="shared" si="100"/>
        <v>112.77723432000001</v>
      </c>
      <c r="J421" s="33"/>
      <c r="K421" s="34"/>
      <c r="L421" s="34"/>
      <c r="M421" s="32"/>
      <c r="N421" s="32"/>
    </row>
    <row r="422" spans="1:14" ht="60" x14ac:dyDescent="0.25">
      <c r="A422" s="164">
        <v>403</v>
      </c>
      <c r="B422" s="207"/>
      <c r="C422" s="160" t="s">
        <v>74</v>
      </c>
      <c r="D422" s="163" t="s">
        <v>75</v>
      </c>
      <c r="E422" s="112" t="s">
        <v>8</v>
      </c>
      <c r="F422" s="20">
        <v>15</v>
      </c>
      <c r="G422" s="13">
        <v>14.14</v>
      </c>
      <c r="H422" s="13">
        <f t="shared" si="99"/>
        <v>17.317258000000002</v>
      </c>
      <c r="I422" s="13">
        <f t="shared" si="100"/>
        <v>259.75887000000006</v>
      </c>
      <c r="J422" s="33"/>
      <c r="K422" s="34"/>
      <c r="L422" s="34"/>
      <c r="M422" s="32"/>
      <c r="N422" s="32"/>
    </row>
    <row r="423" spans="1:14" ht="60" x14ac:dyDescent="0.25">
      <c r="A423" s="164">
        <v>404</v>
      </c>
      <c r="B423" s="207"/>
      <c r="C423" s="113" t="s">
        <v>76</v>
      </c>
      <c r="D423" s="42" t="s">
        <v>77</v>
      </c>
      <c r="E423" s="112" t="s">
        <v>8</v>
      </c>
      <c r="F423" s="20">
        <v>15</v>
      </c>
      <c r="G423" s="13">
        <v>5.28</v>
      </c>
      <c r="H423" s="13">
        <f t="shared" si="99"/>
        <v>6.4664160000000006</v>
      </c>
      <c r="I423" s="13">
        <f t="shared" si="100"/>
        <v>96.996240000000014</v>
      </c>
      <c r="J423" s="33"/>
      <c r="K423" s="34"/>
      <c r="L423" s="34"/>
      <c r="M423" s="32"/>
      <c r="N423" s="32"/>
    </row>
    <row r="424" spans="1:14" ht="45" x14ac:dyDescent="0.25">
      <c r="A424" s="164">
        <v>405</v>
      </c>
      <c r="B424" s="207" t="s">
        <v>116</v>
      </c>
      <c r="C424" s="12" t="s">
        <v>68</v>
      </c>
      <c r="D424" s="25" t="s">
        <v>69</v>
      </c>
      <c r="E424" s="112" t="s">
        <v>8</v>
      </c>
      <c r="F424" s="20">
        <f>27.99*3-F426</f>
        <v>75.09</v>
      </c>
      <c r="G424" s="13">
        <v>8.64</v>
      </c>
      <c r="H424" s="13">
        <f t="shared" si="99"/>
        <v>10.581408000000001</v>
      </c>
      <c r="I424" s="13">
        <f t="shared" si="100"/>
        <v>794.55792672000018</v>
      </c>
      <c r="J424" s="33"/>
      <c r="K424" s="34"/>
      <c r="L424" s="34"/>
      <c r="M424" s="32"/>
      <c r="N424" s="32"/>
    </row>
    <row r="425" spans="1:14" ht="60" x14ac:dyDescent="0.25">
      <c r="A425" s="164">
        <v>406</v>
      </c>
      <c r="B425" s="207"/>
      <c r="C425" s="12" t="s">
        <v>70</v>
      </c>
      <c r="D425" s="25" t="s">
        <v>71</v>
      </c>
      <c r="E425" s="112" t="s">
        <v>8</v>
      </c>
      <c r="F425" s="20">
        <f>F424</f>
        <v>75.09</v>
      </c>
      <c r="G425" s="13">
        <v>4.21</v>
      </c>
      <c r="H425" s="13">
        <f t="shared" si="99"/>
        <v>5.1559869999999997</v>
      </c>
      <c r="I425" s="13">
        <f t="shared" si="100"/>
        <v>387.16306383</v>
      </c>
      <c r="J425" s="33"/>
      <c r="K425" s="34"/>
      <c r="L425" s="34"/>
      <c r="M425" s="32"/>
      <c r="N425" s="32"/>
    </row>
    <row r="426" spans="1:14" ht="75" x14ac:dyDescent="0.25">
      <c r="A426" s="164">
        <v>407</v>
      </c>
      <c r="B426" s="207"/>
      <c r="C426" s="12" t="s">
        <v>72</v>
      </c>
      <c r="D426" s="163" t="s">
        <v>73</v>
      </c>
      <c r="E426" s="112" t="s">
        <v>8</v>
      </c>
      <c r="F426" s="20">
        <f>3*2*1.2+0.8*2.1</f>
        <v>8.879999999999999</v>
      </c>
      <c r="G426" s="13">
        <v>22.57</v>
      </c>
      <c r="H426" s="13">
        <f t="shared" si="99"/>
        <v>27.641479</v>
      </c>
      <c r="I426" s="13">
        <f t="shared" si="100"/>
        <v>245.45633351999999</v>
      </c>
      <c r="J426" s="33"/>
      <c r="K426" s="34"/>
      <c r="L426" s="34"/>
      <c r="M426" s="32"/>
      <c r="N426" s="32"/>
    </row>
    <row r="427" spans="1:14" ht="60" x14ac:dyDescent="0.25">
      <c r="A427" s="164">
        <v>408</v>
      </c>
      <c r="B427" s="207"/>
      <c r="C427" s="160" t="s">
        <v>74</v>
      </c>
      <c r="D427" s="163" t="s">
        <v>75</v>
      </c>
      <c r="E427" s="112" t="s">
        <v>8</v>
      </c>
      <c r="F427" s="20">
        <v>47.99</v>
      </c>
      <c r="G427" s="13">
        <v>14.14</v>
      </c>
      <c r="H427" s="13">
        <f t="shared" si="99"/>
        <v>17.317258000000002</v>
      </c>
      <c r="I427" s="13">
        <f t="shared" si="100"/>
        <v>831.05521142000021</v>
      </c>
      <c r="J427" s="33"/>
      <c r="K427" s="34"/>
      <c r="L427" s="34"/>
      <c r="M427" s="32"/>
      <c r="N427" s="32"/>
    </row>
    <row r="428" spans="1:14" ht="60" x14ac:dyDescent="0.25">
      <c r="A428" s="164">
        <v>409</v>
      </c>
      <c r="B428" s="207"/>
      <c r="C428" s="113" t="s">
        <v>76</v>
      </c>
      <c r="D428" s="42" t="s">
        <v>77</v>
      </c>
      <c r="E428" s="112" t="s">
        <v>8</v>
      </c>
      <c r="F428" s="20">
        <v>47.99</v>
      </c>
      <c r="G428" s="13">
        <v>5.28</v>
      </c>
      <c r="H428" s="13">
        <f t="shared" si="99"/>
        <v>6.4664160000000006</v>
      </c>
      <c r="I428" s="13">
        <f t="shared" si="100"/>
        <v>310.32330384000005</v>
      </c>
      <c r="J428" s="33"/>
      <c r="K428" s="34"/>
      <c r="L428" s="34"/>
      <c r="M428" s="32"/>
      <c r="N428" s="32"/>
    </row>
    <row r="429" spans="1:14" ht="45" x14ac:dyDescent="0.25">
      <c r="A429" s="164">
        <v>410</v>
      </c>
      <c r="B429" s="207" t="s">
        <v>117</v>
      </c>
      <c r="C429" s="12" t="s">
        <v>68</v>
      </c>
      <c r="D429" s="25" t="s">
        <v>69</v>
      </c>
      <c r="E429" s="112" t="s">
        <v>8</v>
      </c>
      <c r="F429" s="20">
        <f>24*3-F431</f>
        <v>60.72</v>
      </c>
      <c r="G429" s="13">
        <v>8.64</v>
      </c>
      <c r="H429" s="13">
        <f t="shared" si="99"/>
        <v>10.581408000000001</v>
      </c>
      <c r="I429" s="13">
        <f t="shared" si="100"/>
        <v>642.50309376000007</v>
      </c>
      <c r="J429" s="33"/>
      <c r="K429" s="34"/>
      <c r="L429" s="34"/>
      <c r="M429" s="32"/>
      <c r="N429" s="32"/>
    </row>
    <row r="430" spans="1:14" ht="60" x14ac:dyDescent="0.25">
      <c r="A430" s="164">
        <v>411</v>
      </c>
      <c r="B430" s="207"/>
      <c r="C430" s="12" t="s">
        <v>70</v>
      </c>
      <c r="D430" s="25" t="s">
        <v>71</v>
      </c>
      <c r="E430" s="112" t="s">
        <v>8</v>
      </c>
      <c r="F430" s="20">
        <f>F429</f>
        <v>60.72</v>
      </c>
      <c r="G430" s="13">
        <v>4.21</v>
      </c>
      <c r="H430" s="13">
        <f t="shared" si="99"/>
        <v>5.1559869999999997</v>
      </c>
      <c r="I430" s="13">
        <f t="shared" si="100"/>
        <v>313.07153063999999</v>
      </c>
      <c r="J430" s="33"/>
      <c r="K430" s="34"/>
      <c r="L430" s="34"/>
      <c r="M430" s="32"/>
      <c r="N430" s="32"/>
    </row>
    <row r="431" spans="1:14" ht="75" x14ac:dyDescent="0.25">
      <c r="A431" s="164">
        <v>412</v>
      </c>
      <c r="B431" s="207"/>
      <c r="C431" s="12" t="s">
        <v>72</v>
      </c>
      <c r="D431" s="163" t="s">
        <v>73</v>
      </c>
      <c r="E431" s="112" t="s">
        <v>8</v>
      </c>
      <c r="F431" s="20">
        <f>4*2*1.2+0.8*2.1</f>
        <v>11.28</v>
      </c>
      <c r="G431" s="13">
        <v>22.57</v>
      </c>
      <c r="H431" s="13">
        <f t="shared" si="99"/>
        <v>27.641479</v>
      </c>
      <c r="I431" s="13">
        <f t="shared" si="100"/>
        <v>311.79588311999998</v>
      </c>
      <c r="J431" s="33"/>
      <c r="K431" s="34"/>
      <c r="L431" s="34"/>
      <c r="M431" s="32"/>
      <c r="N431" s="32"/>
    </row>
    <row r="432" spans="1:14" ht="60" x14ac:dyDescent="0.25">
      <c r="A432" s="164">
        <v>413</v>
      </c>
      <c r="B432" s="207"/>
      <c r="C432" s="160" t="s">
        <v>74</v>
      </c>
      <c r="D432" s="163" t="s">
        <v>75</v>
      </c>
      <c r="E432" s="112" t="s">
        <v>8</v>
      </c>
      <c r="F432" s="20">
        <v>36</v>
      </c>
      <c r="G432" s="13">
        <v>14.14</v>
      </c>
      <c r="H432" s="13">
        <f t="shared" si="99"/>
        <v>17.317258000000002</v>
      </c>
      <c r="I432" s="13">
        <f t="shared" si="100"/>
        <v>623.42128800000012</v>
      </c>
      <c r="J432" s="33"/>
      <c r="K432" s="34"/>
      <c r="L432" s="34"/>
      <c r="M432" s="32"/>
      <c r="N432" s="32"/>
    </row>
    <row r="433" spans="1:14" ht="60" x14ac:dyDescent="0.25">
      <c r="A433" s="164">
        <v>414</v>
      </c>
      <c r="B433" s="207"/>
      <c r="C433" s="113" t="s">
        <v>76</v>
      </c>
      <c r="D433" s="42" t="s">
        <v>77</v>
      </c>
      <c r="E433" s="112" t="s">
        <v>8</v>
      </c>
      <c r="F433" s="20">
        <v>36</v>
      </c>
      <c r="G433" s="13">
        <v>5.28</v>
      </c>
      <c r="H433" s="13">
        <f t="shared" si="99"/>
        <v>6.4664160000000006</v>
      </c>
      <c r="I433" s="13">
        <f t="shared" si="100"/>
        <v>232.79097600000003</v>
      </c>
      <c r="J433" s="33"/>
      <c r="K433" s="34"/>
      <c r="L433" s="34"/>
      <c r="M433" s="32"/>
      <c r="N433" s="32"/>
    </row>
    <row r="434" spans="1:14" ht="45" x14ac:dyDescent="0.25">
      <c r="A434" s="164">
        <v>415</v>
      </c>
      <c r="B434" s="207" t="s">
        <v>118</v>
      </c>
      <c r="C434" s="12" t="s">
        <v>68</v>
      </c>
      <c r="D434" s="25" t="s">
        <v>69</v>
      </c>
      <c r="E434" s="112" t="s">
        <v>8</v>
      </c>
      <c r="F434" s="20">
        <f>27.99*3-F436</f>
        <v>75.09</v>
      </c>
      <c r="G434" s="13">
        <v>8.64</v>
      </c>
      <c r="H434" s="13">
        <f t="shared" si="99"/>
        <v>10.581408000000001</v>
      </c>
      <c r="I434" s="13">
        <f t="shared" si="100"/>
        <v>794.55792672000018</v>
      </c>
      <c r="J434" s="33"/>
      <c r="K434" s="34"/>
      <c r="L434" s="34"/>
      <c r="M434" s="32"/>
      <c r="N434" s="32"/>
    </row>
    <row r="435" spans="1:14" ht="60" x14ac:dyDescent="0.25">
      <c r="A435" s="164">
        <v>416</v>
      </c>
      <c r="B435" s="207"/>
      <c r="C435" s="12" t="s">
        <v>70</v>
      </c>
      <c r="D435" s="25" t="s">
        <v>71</v>
      </c>
      <c r="E435" s="112" t="s">
        <v>8</v>
      </c>
      <c r="F435" s="20">
        <f>F434</f>
        <v>75.09</v>
      </c>
      <c r="G435" s="13">
        <v>4.21</v>
      </c>
      <c r="H435" s="13">
        <f t="shared" si="99"/>
        <v>5.1559869999999997</v>
      </c>
      <c r="I435" s="13">
        <f t="shared" si="100"/>
        <v>387.16306383</v>
      </c>
      <c r="J435" s="33"/>
      <c r="K435" s="34"/>
      <c r="L435" s="34"/>
      <c r="M435" s="32"/>
      <c r="N435" s="32"/>
    </row>
    <row r="436" spans="1:14" ht="75" x14ac:dyDescent="0.25">
      <c r="A436" s="164">
        <v>417</v>
      </c>
      <c r="B436" s="207"/>
      <c r="C436" s="12" t="s">
        <v>72</v>
      </c>
      <c r="D436" s="163" t="s">
        <v>73</v>
      </c>
      <c r="E436" s="112" t="s">
        <v>8</v>
      </c>
      <c r="F436" s="20">
        <f>3*2*1.2+0.8*2.1</f>
        <v>8.879999999999999</v>
      </c>
      <c r="G436" s="13">
        <v>22.57</v>
      </c>
      <c r="H436" s="13">
        <f t="shared" si="99"/>
        <v>27.641479</v>
      </c>
      <c r="I436" s="13">
        <f t="shared" si="100"/>
        <v>245.45633351999999</v>
      </c>
      <c r="J436" s="33"/>
      <c r="K436" s="34"/>
      <c r="L436" s="34"/>
      <c r="M436" s="32"/>
      <c r="N436" s="32"/>
    </row>
    <row r="437" spans="1:14" ht="60" x14ac:dyDescent="0.25">
      <c r="A437" s="164">
        <v>418</v>
      </c>
      <c r="B437" s="207"/>
      <c r="C437" s="160" t="s">
        <v>74</v>
      </c>
      <c r="D437" s="163" t="s">
        <v>75</v>
      </c>
      <c r="E437" s="112" t="s">
        <v>8</v>
      </c>
      <c r="F437" s="20">
        <v>47.99</v>
      </c>
      <c r="G437" s="13">
        <v>14.14</v>
      </c>
      <c r="H437" s="13">
        <f t="shared" si="99"/>
        <v>17.317258000000002</v>
      </c>
      <c r="I437" s="13">
        <f t="shared" si="100"/>
        <v>831.05521142000021</v>
      </c>
      <c r="J437" s="33"/>
      <c r="K437" s="34"/>
      <c r="L437" s="34"/>
      <c r="M437" s="32"/>
      <c r="N437" s="32"/>
    </row>
    <row r="438" spans="1:14" ht="60" x14ac:dyDescent="0.25">
      <c r="A438" s="164">
        <v>419</v>
      </c>
      <c r="B438" s="207"/>
      <c r="C438" s="113" t="s">
        <v>76</v>
      </c>
      <c r="D438" s="42" t="s">
        <v>77</v>
      </c>
      <c r="E438" s="112" t="s">
        <v>8</v>
      </c>
      <c r="F438" s="20">
        <v>47.99</v>
      </c>
      <c r="G438" s="13">
        <v>5.28</v>
      </c>
      <c r="H438" s="13">
        <f t="shared" si="99"/>
        <v>6.4664160000000006</v>
      </c>
      <c r="I438" s="13">
        <f t="shared" si="100"/>
        <v>310.32330384000005</v>
      </c>
      <c r="J438" s="33"/>
      <c r="K438" s="34"/>
      <c r="L438" s="34"/>
      <c r="M438" s="32"/>
      <c r="N438" s="32"/>
    </row>
    <row r="439" spans="1:14" ht="45" x14ac:dyDescent="0.25">
      <c r="A439" s="164">
        <v>420</v>
      </c>
      <c r="B439" s="207" t="s">
        <v>126</v>
      </c>
      <c r="C439" s="12" t="s">
        <v>68</v>
      </c>
      <c r="D439" s="25" t="s">
        <v>69</v>
      </c>
      <c r="E439" s="112" t="s">
        <v>8</v>
      </c>
      <c r="F439" s="20">
        <f>24*3-F441</f>
        <v>60.72</v>
      </c>
      <c r="G439" s="13">
        <v>8.64</v>
      </c>
      <c r="H439" s="13">
        <f t="shared" si="99"/>
        <v>10.581408000000001</v>
      </c>
      <c r="I439" s="13">
        <f t="shared" si="100"/>
        <v>642.50309376000007</v>
      </c>
      <c r="J439" s="33"/>
      <c r="K439" s="34"/>
      <c r="L439" s="34"/>
      <c r="M439" s="32"/>
      <c r="N439" s="32"/>
    </row>
    <row r="440" spans="1:14" ht="60" x14ac:dyDescent="0.25">
      <c r="A440" s="164">
        <v>421</v>
      </c>
      <c r="B440" s="207"/>
      <c r="C440" s="12" t="s">
        <v>70</v>
      </c>
      <c r="D440" s="25" t="s">
        <v>71</v>
      </c>
      <c r="E440" s="112" t="s">
        <v>8</v>
      </c>
      <c r="F440" s="20">
        <f>F439</f>
        <v>60.72</v>
      </c>
      <c r="G440" s="13">
        <v>4.21</v>
      </c>
      <c r="H440" s="13">
        <f t="shared" si="99"/>
        <v>5.1559869999999997</v>
      </c>
      <c r="I440" s="13">
        <f t="shared" si="100"/>
        <v>313.07153063999999</v>
      </c>
      <c r="J440" s="33"/>
      <c r="K440" s="34"/>
      <c r="L440" s="34"/>
      <c r="M440" s="32"/>
      <c r="N440" s="32"/>
    </row>
    <row r="441" spans="1:14" ht="75" x14ac:dyDescent="0.25">
      <c r="A441" s="164">
        <v>422</v>
      </c>
      <c r="B441" s="207"/>
      <c r="C441" s="12" t="s">
        <v>72</v>
      </c>
      <c r="D441" s="163" t="s">
        <v>73</v>
      </c>
      <c r="E441" s="112" t="s">
        <v>8</v>
      </c>
      <c r="F441" s="20">
        <f>4*2*1.2+0.8*2.1</f>
        <v>11.28</v>
      </c>
      <c r="G441" s="13">
        <v>22.57</v>
      </c>
      <c r="H441" s="13">
        <f t="shared" ref="H441:H458" si="101">G441+G441*B$18</f>
        <v>27.641479</v>
      </c>
      <c r="I441" s="13">
        <f t="shared" ref="I441:I458" si="102">H441*F441</f>
        <v>311.79588311999998</v>
      </c>
      <c r="J441" s="33"/>
      <c r="K441" s="34"/>
      <c r="L441" s="34"/>
      <c r="M441" s="32"/>
      <c r="N441" s="32"/>
    </row>
    <row r="442" spans="1:14" ht="60" x14ac:dyDescent="0.25">
      <c r="A442" s="164">
        <v>423</v>
      </c>
      <c r="B442" s="207"/>
      <c r="C442" s="160" t="s">
        <v>74</v>
      </c>
      <c r="D442" s="163" t="s">
        <v>75</v>
      </c>
      <c r="E442" s="112" t="s">
        <v>8</v>
      </c>
      <c r="F442" s="20">
        <v>36</v>
      </c>
      <c r="G442" s="13">
        <v>14.14</v>
      </c>
      <c r="H442" s="13">
        <f t="shared" si="101"/>
        <v>17.317258000000002</v>
      </c>
      <c r="I442" s="13">
        <f t="shared" si="102"/>
        <v>623.42128800000012</v>
      </c>
      <c r="J442" s="33"/>
      <c r="K442" s="34"/>
      <c r="L442" s="34"/>
      <c r="M442" s="32"/>
      <c r="N442" s="32"/>
    </row>
    <row r="443" spans="1:14" ht="60" x14ac:dyDescent="0.25">
      <c r="A443" s="164">
        <v>424</v>
      </c>
      <c r="B443" s="207"/>
      <c r="C443" s="113" t="s">
        <v>76</v>
      </c>
      <c r="D443" s="42" t="s">
        <v>77</v>
      </c>
      <c r="E443" s="112" t="s">
        <v>8</v>
      </c>
      <c r="F443" s="20">
        <v>36</v>
      </c>
      <c r="G443" s="13">
        <v>5.28</v>
      </c>
      <c r="H443" s="13">
        <f t="shared" si="101"/>
        <v>6.4664160000000006</v>
      </c>
      <c r="I443" s="13">
        <f t="shared" si="102"/>
        <v>232.79097600000003</v>
      </c>
      <c r="J443" s="33"/>
      <c r="K443" s="34"/>
      <c r="L443" s="34"/>
      <c r="M443" s="32"/>
      <c r="N443" s="32"/>
    </row>
    <row r="444" spans="1:14" ht="45" x14ac:dyDescent="0.25">
      <c r="A444" s="164">
        <v>425</v>
      </c>
      <c r="B444" s="207" t="s">
        <v>131</v>
      </c>
      <c r="C444" s="12" t="s">
        <v>68</v>
      </c>
      <c r="D444" s="25" t="s">
        <v>69</v>
      </c>
      <c r="E444" s="112" t="s">
        <v>8</v>
      </c>
      <c r="F444" s="20">
        <f>38.8*3-F446</f>
        <v>100.44</v>
      </c>
      <c r="G444" s="13">
        <v>8.64</v>
      </c>
      <c r="H444" s="13">
        <f t="shared" si="101"/>
        <v>10.581408000000001</v>
      </c>
      <c r="I444" s="13">
        <f t="shared" si="102"/>
        <v>1062.7966195200001</v>
      </c>
      <c r="J444" s="33"/>
      <c r="K444" s="34"/>
      <c r="L444" s="34"/>
      <c r="M444" s="32"/>
      <c r="N444" s="32"/>
    </row>
    <row r="445" spans="1:14" ht="60" x14ac:dyDescent="0.25">
      <c r="A445" s="164">
        <v>426</v>
      </c>
      <c r="B445" s="207"/>
      <c r="C445" s="12" t="s">
        <v>70</v>
      </c>
      <c r="D445" s="25" t="s">
        <v>71</v>
      </c>
      <c r="E445" s="112" t="s">
        <v>8</v>
      </c>
      <c r="F445" s="20">
        <f>F444</f>
        <v>100.44</v>
      </c>
      <c r="G445" s="13">
        <v>4.21</v>
      </c>
      <c r="H445" s="13">
        <f t="shared" si="101"/>
        <v>5.1559869999999997</v>
      </c>
      <c r="I445" s="13">
        <f t="shared" si="102"/>
        <v>517.86733427999991</v>
      </c>
      <c r="J445" s="33"/>
      <c r="K445" s="34"/>
      <c r="L445" s="34"/>
      <c r="M445" s="32"/>
      <c r="N445" s="32"/>
    </row>
    <row r="446" spans="1:14" ht="75" x14ac:dyDescent="0.25">
      <c r="A446" s="164">
        <v>427</v>
      </c>
      <c r="B446" s="207"/>
      <c r="C446" s="12" t="s">
        <v>72</v>
      </c>
      <c r="D446" s="163" t="s">
        <v>73</v>
      </c>
      <c r="E446" s="112" t="s">
        <v>8</v>
      </c>
      <c r="F446" s="20">
        <f>7*0.8*2.1+2*2.1</f>
        <v>15.96</v>
      </c>
      <c r="G446" s="13">
        <v>22.57</v>
      </c>
      <c r="H446" s="13">
        <f t="shared" si="101"/>
        <v>27.641479</v>
      </c>
      <c r="I446" s="13">
        <f t="shared" si="102"/>
        <v>441.15800484000005</v>
      </c>
      <c r="J446" s="33"/>
      <c r="K446" s="34"/>
      <c r="L446" s="34"/>
      <c r="M446" s="32"/>
      <c r="N446" s="32"/>
    </row>
    <row r="447" spans="1:14" ht="60" x14ac:dyDescent="0.25">
      <c r="A447" s="164">
        <v>428</v>
      </c>
      <c r="B447" s="207"/>
      <c r="C447" s="160" t="s">
        <v>74</v>
      </c>
      <c r="D447" s="163" t="s">
        <v>75</v>
      </c>
      <c r="E447" s="112" t="s">
        <v>8</v>
      </c>
      <c r="F447" s="20">
        <v>40.36</v>
      </c>
      <c r="G447" s="13">
        <v>14.14</v>
      </c>
      <c r="H447" s="13">
        <f t="shared" si="101"/>
        <v>17.317258000000002</v>
      </c>
      <c r="I447" s="13">
        <f t="shared" si="102"/>
        <v>698.92453288000013</v>
      </c>
      <c r="J447" s="33"/>
      <c r="K447" s="34"/>
      <c r="L447" s="34"/>
      <c r="M447" s="32"/>
      <c r="N447" s="32"/>
    </row>
    <row r="448" spans="1:14" ht="60" x14ac:dyDescent="0.25">
      <c r="A448" s="164">
        <v>429</v>
      </c>
      <c r="B448" s="207"/>
      <c r="C448" s="113" t="s">
        <v>76</v>
      </c>
      <c r="D448" s="42" t="s">
        <v>77</v>
      </c>
      <c r="E448" s="112" t="s">
        <v>8</v>
      </c>
      <c r="F448" s="20">
        <v>40.36</v>
      </c>
      <c r="G448" s="13">
        <v>5.28</v>
      </c>
      <c r="H448" s="13">
        <f t="shared" si="101"/>
        <v>6.4664160000000006</v>
      </c>
      <c r="I448" s="13">
        <f t="shared" si="102"/>
        <v>260.98454975999999</v>
      </c>
      <c r="J448" s="33"/>
      <c r="K448" s="34"/>
      <c r="L448" s="34"/>
      <c r="M448" s="32"/>
      <c r="N448" s="32"/>
    </row>
    <row r="449" spans="1:14" ht="45" x14ac:dyDescent="0.25">
      <c r="A449" s="164">
        <v>430</v>
      </c>
      <c r="B449" s="207" t="s">
        <v>132</v>
      </c>
      <c r="C449" s="12" t="s">
        <v>68</v>
      </c>
      <c r="D449" s="25" t="s">
        <v>69</v>
      </c>
      <c r="E449" s="112" t="s">
        <v>8</v>
      </c>
      <c r="F449" s="20">
        <f>20*3-F451</f>
        <v>50.76</v>
      </c>
      <c r="G449" s="13">
        <v>8.64</v>
      </c>
      <c r="H449" s="13">
        <f t="shared" si="101"/>
        <v>10.581408000000001</v>
      </c>
      <c r="I449" s="13">
        <f t="shared" si="102"/>
        <v>537.11227008000003</v>
      </c>
      <c r="J449" s="33"/>
      <c r="K449" s="34"/>
      <c r="L449" s="34"/>
      <c r="M449" s="32"/>
      <c r="N449" s="32"/>
    </row>
    <row r="450" spans="1:14" ht="60" x14ac:dyDescent="0.25">
      <c r="A450" s="164">
        <v>431</v>
      </c>
      <c r="B450" s="207"/>
      <c r="C450" s="12" t="s">
        <v>70</v>
      </c>
      <c r="D450" s="25" t="s">
        <v>71</v>
      </c>
      <c r="E450" s="112" t="s">
        <v>8</v>
      </c>
      <c r="F450" s="20">
        <f>F449</f>
        <v>50.76</v>
      </c>
      <c r="G450" s="13">
        <v>4.21</v>
      </c>
      <c r="H450" s="13">
        <f t="shared" si="101"/>
        <v>5.1559869999999997</v>
      </c>
      <c r="I450" s="13">
        <f t="shared" si="102"/>
        <v>261.71790011999997</v>
      </c>
      <c r="J450" s="33"/>
      <c r="K450" s="34"/>
      <c r="L450" s="34"/>
      <c r="M450" s="32"/>
      <c r="N450" s="32"/>
    </row>
    <row r="451" spans="1:14" ht="75" x14ac:dyDescent="0.25">
      <c r="A451" s="164">
        <v>432</v>
      </c>
      <c r="B451" s="207"/>
      <c r="C451" s="12" t="s">
        <v>72</v>
      </c>
      <c r="D451" s="163" t="s">
        <v>73</v>
      </c>
      <c r="E451" s="112" t="s">
        <v>8</v>
      </c>
      <c r="F451" s="20">
        <f>3*0.8*2.1+1.5*1.2+2*1.2</f>
        <v>9.24</v>
      </c>
      <c r="G451" s="13">
        <v>22.57</v>
      </c>
      <c r="H451" s="13">
        <f t="shared" si="101"/>
        <v>27.641479</v>
      </c>
      <c r="I451" s="13">
        <f t="shared" si="102"/>
        <v>255.40726596000002</v>
      </c>
      <c r="J451" s="33"/>
      <c r="K451" s="34"/>
      <c r="L451" s="34"/>
      <c r="M451" s="32"/>
      <c r="N451" s="32"/>
    </row>
    <row r="452" spans="1:14" ht="60" x14ac:dyDescent="0.25">
      <c r="A452" s="164">
        <v>433</v>
      </c>
      <c r="B452" s="207"/>
      <c r="C452" s="160" t="s">
        <v>74</v>
      </c>
      <c r="D452" s="163" t="s">
        <v>75</v>
      </c>
      <c r="E452" s="112" t="s">
        <v>8</v>
      </c>
      <c r="F452" s="20">
        <v>19.73</v>
      </c>
      <c r="G452" s="13">
        <v>14.14</v>
      </c>
      <c r="H452" s="13">
        <f t="shared" si="101"/>
        <v>17.317258000000002</v>
      </c>
      <c r="I452" s="13">
        <f t="shared" si="102"/>
        <v>341.66950034000007</v>
      </c>
      <c r="J452" s="33"/>
      <c r="K452" s="34"/>
      <c r="L452" s="34"/>
      <c r="M452" s="32"/>
      <c r="N452" s="32"/>
    </row>
    <row r="453" spans="1:14" ht="60" x14ac:dyDescent="0.25">
      <c r="A453" s="164">
        <v>434</v>
      </c>
      <c r="B453" s="207"/>
      <c r="C453" s="113" t="s">
        <v>76</v>
      </c>
      <c r="D453" s="42" t="s">
        <v>77</v>
      </c>
      <c r="E453" s="112" t="s">
        <v>8</v>
      </c>
      <c r="F453" s="20">
        <v>19.73</v>
      </c>
      <c r="G453" s="13">
        <v>5.28</v>
      </c>
      <c r="H453" s="13">
        <f t="shared" si="101"/>
        <v>6.4664160000000006</v>
      </c>
      <c r="I453" s="13">
        <f t="shared" si="102"/>
        <v>127.58238768000001</v>
      </c>
      <c r="J453" s="33"/>
      <c r="K453" s="34"/>
      <c r="L453" s="34"/>
      <c r="M453" s="32"/>
      <c r="N453" s="32"/>
    </row>
    <row r="454" spans="1:14" ht="45" x14ac:dyDescent="0.25">
      <c r="A454" s="164">
        <v>435</v>
      </c>
      <c r="B454" s="207" t="s">
        <v>133</v>
      </c>
      <c r="C454" s="12" t="s">
        <v>68</v>
      </c>
      <c r="D454" s="25" t="s">
        <v>69</v>
      </c>
      <c r="E454" s="112" t="s">
        <v>8</v>
      </c>
      <c r="F454" s="20">
        <f>36.55*3-F456</f>
        <v>95.969999999999985</v>
      </c>
      <c r="G454" s="13">
        <v>8.64</v>
      </c>
      <c r="H454" s="13">
        <f t="shared" si="101"/>
        <v>10.581408000000001</v>
      </c>
      <c r="I454" s="13">
        <f t="shared" si="102"/>
        <v>1015.49772576</v>
      </c>
      <c r="J454" s="33"/>
      <c r="K454" s="34"/>
      <c r="L454" s="34"/>
      <c r="M454" s="32"/>
      <c r="N454" s="32"/>
    </row>
    <row r="455" spans="1:14" ht="60" x14ac:dyDescent="0.25">
      <c r="A455" s="164">
        <v>436</v>
      </c>
      <c r="B455" s="207"/>
      <c r="C455" s="12" t="s">
        <v>70</v>
      </c>
      <c r="D455" s="25" t="s">
        <v>71</v>
      </c>
      <c r="E455" s="112" t="s">
        <v>8</v>
      </c>
      <c r="F455" s="20">
        <f>F454</f>
        <v>95.969999999999985</v>
      </c>
      <c r="G455" s="13">
        <v>4.21</v>
      </c>
      <c r="H455" s="13">
        <f t="shared" si="101"/>
        <v>5.1559869999999997</v>
      </c>
      <c r="I455" s="13">
        <f t="shared" si="102"/>
        <v>494.82007238999989</v>
      </c>
      <c r="J455" s="33"/>
      <c r="K455" s="34"/>
      <c r="L455" s="34"/>
      <c r="M455" s="32"/>
      <c r="N455" s="32"/>
    </row>
    <row r="456" spans="1:14" ht="75" x14ac:dyDescent="0.25">
      <c r="A456" s="164">
        <v>437</v>
      </c>
      <c r="B456" s="207"/>
      <c r="C456" s="12" t="s">
        <v>72</v>
      </c>
      <c r="D456" s="163" t="s">
        <v>73</v>
      </c>
      <c r="E456" s="112" t="s">
        <v>8</v>
      </c>
      <c r="F456" s="20">
        <f>6*0.8*2.1+2*1.5*1.2</f>
        <v>13.680000000000001</v>
      </c>
      <c r="G456" s="13">
        <v>22.57</v>
      </c>
      <c r="H456" s="13">
        <f t="shared" si="101"/>
        <v>27.641479</v>
      </c>
      <c r="I456" s="13">
        <f t="shared" si="102"/>
        <v>378.13543272000004</v>
      </c>
      <c r="J456" s="33"/>
      <c r="K456" s="34"/>
      <c r="L456" s="34"/>
      <c r="M456" s="32"/>
      <c r="N456" s="32"/>
    </row>
    <row r="457" spans="1:14" ht="60" x14ac:dyDescent="0.25">
      <c r="A457" s="164">
        <v>438</v>
      </c>
      <c r="B457" s="207"/>
      <c r="C457" s="160" t="s">
        <v>74</v>
      </c>
      <c r="D457" s="163" t="s">
        <v>75</v>
      </c>
      <c r="E457" s="112" t="s">
        <v>8</v>
      </c>
      <c r="F457" s="20">
        <v>47.73</v>
      </c>
      <c r="G457" s="13">
        <v>14.14</v>
      </c>
      <c r="H457" s="13">
        <f t="shared" si="101"/>
        <v>17.317258000000002</v>
      </c>
      <c r="I457" s="13">
        <f t="shared" si="102"/>
        <v>826.55272434000005</v>
      </c>
      <c r="J457" s="33"/>
      <c r="K457" s="34"/>
      <c r="L457" s="34"/>
      <c r="M457" s="32"/>
      <c r="N457" s="32"/>
    </row>
    <row r="458" spans="1:14" ht="60" x14ac:dyDescent="0.25">
      <c r="A458" s="164">
        <v>439</v>
      </c>
      <c r="B458" s="207"/>
      <c r="C458" s="113" t="s">
        <v>76</v>
      </c>
      <c r="D458" s="42" t="s">
        <v>77</v>
      </c>
      <c r="E458" s="112" t="s">
        <v>8</v>
      </c>
      <c r="F458" s="20">
        <v>47.73</v>
      </c>
      <c r="G458" s="13">
        <v>5.28</v>
      </c>
      <c r="H458" s="13">
        <f t="shared" si="101"/>
        <v>6.4664160000000006</v>
      </c>
      <c r="I458" s="13">
        <f t="shared" si="102"/>
        <v>308.64203567999999</v>
      </c>
      <c r="J458" s="33"/>
      <c r="K458" s="34"/>
      <c r="L458" s="34"/>
      <c r="M458" s="32"/>
      <c r="N458" s="32"/>
    </row>
    <row r="459" spans="1:14" ht="75" x14ac:dyDescent="0.25">
      <c r="A459" s="164">
        <v>440</v>
      </c>
      <c r="B459" s="207" t="s">
        <v>119</v>
      </c>
      <c r="C459" s="12" t="s">
        <v>72</v>
      </c>
      <c r="D459" s="163" t="s">
        <v>73</v>
      </c>
      <c r="E459" s="112" t="s">
        <v>8</v>
      </c>
      <c r="F459" s="20">
        <f>1.8*1.2+0.8*2.1</f>
        <v>3.8400000000000003</v>
      </c>
      <c r="G459" s="13">
        <v>22.57</v>
      </c>
      <c r="H459" s="13">
        <f t="shared" ref="H459:H461" si="103">G459+G459*B$18</f>
        <v>27.641479</v>
      </c>
      <c r="I459" s="13">
        <f t="shared" ref="I459:I461" si="104">H459*F459</f>
        <v>106.14327936000001</v>
      </c>
      <c r="J459" s="33"/>
      <c r="K459" s="34"/>
      <c r="L459" s="34"/>
      <c r="M459" s="32"/>
      <c r="N459" s="32"/>
    </row>
    <row r="460" spans="1:14" ht="60" x14ac:dyDescent="0.25">
      <c r="A460" s="164">
        <v>441</v>
      </c>
      <c r="B460" s="207"/>
      <c r="C460" s="160" t="s">
        <v>74</v>
      </c>
      <c r="D460" s="163" t="s">
        <v>75</v>
      </c>
      <c r="E460" s="112" t="s">
        <v>8</v>
      </c>
      <c r="F460" s="20">
        <v>4.67</v>
      </c>
      <c r="G460" s="13">
        <v>14.14</v>
      </c>
      <c r="H460" s="13">
        <f t="shared" si="103"/>
        <v>17.317258000000002</v>
      </c>
      <c r="I460" s="13">
        <f t="shared" si="104"/>
        <v>80.871594860000016</v>
      </c>
      <c r="J460" s="33"/>
      <c r="K460" s="34"/>
      <c r="L460" s="34"/>
      <c r="M460" s="32"/>
      <c r="N460" s="32"/>
    </row>
    <row r="461" spans="1:14" ht="60" x14ac:dyDescent="0.25">
      <c r="A461" s="164">
        <v>442</v>
      </c>
      <c r="B461" s="207"/>
      <c r="C461" s="113" t="s">
        <v>76</v>
      </c>
      <c r="D461" s="42" t="s">
        <v>77</v>
      </c>
      <c r="E461" s="112" t="s">
        <v>8</v>
      </c>
      <c r="F461" s="20">
        <v>4.67</v>
      </c>
      <c r="G461" s="13">
        <v>5.28</v>
      </c>
      <c r="H461" s="13">
        <f t="shared" si="103"/>
        <v>6.4664160000000006</v>
      </c>
      <c r="I461" s="13">
        <f t="shared" si="104"/>
        <v>30.198162720000003</v>
      </c>
      <c r="J461" s="33"/>
      <c r="K461" s="34"/>
      <c r="L461" s="34"/>
      <c r="M461" s="32"/>
      <c r="N461" s="32"/>
    </row>
    <row r="462" spans="1:14" ht="75" x14ac:dyDescent="0.25">
      <c r="A462" s="164">
        <v>443</v>
      </c>
      <c r="B462" s="207" t="s">
        <v>120</v>
      </c>
      <c r="C462" s="12" t="s">
        <v>72</v>
      </c>
      <c r="D462" s="163" t="s">
        <v>73</v>
      </c>
      <c r="E462" s="112" t="s">
        <v>8</v>
      </c>
      <c r="F462" s="20">
        <f>1.5*1.2+0.8*2.1</f>
        <v>3.48</v>
      </c>
      <c r="G462" s="13">
        <v>22.57</v>
      </c>
      <c r="H462" s="13">
        <f t="shared" ref="H462:H470" si="105">G462+G462*B$18</f>
        <v>27.641479</v>
      </c>
      <c r="I462" s="13">
        <f t="shared" ref="I462:I470" si="106">H462*F462</f>
        <v>96.192346920000006</v>
      </c>
      <c r="J462" s="33"/>
      <c r="K462" s="34"/>
      <c r="L462" s="34"/>
      <c r="M462" s="32"/>
      <c r="N462" s="32"/>
    </row>
    <row r="463" spans="1:14" ht="60" x14ac:dyDescent="0.25">
      <c r="A463" s="164">
        <v>444</v>
      </c>
      <c r="B463" s="207"/>
      <c r="C463" s="160" t="s">
        <v>74</v>
      </c>
      <c r="D463" s="163" t="s">
        <v>75</v>
      </c>
      <c r="E463" s="112" t="s">
        <v>8</v>
      </c>
      <c r="F463" s="20">
        <v>5.84</v>
      </c>
      <c r="G463" s="13">
        <v>14.14</v>
      </c>
      <c r="H463" s="13">
        <f t="shared" si="105"/>
        <v>17.317258000000002</v>
      </c>
      <c r="I463" s="13">
        <f t="shared" si="106"/>
        <v>101.13278672000001</v>
      </c>
      <c r="J463" s="33"/>
      <c r="K463" s="34"/>
      <c r="L463" s="34"/>
      <c r="M463" s="32"/>
      <c r="N463" s="32"/>
    </row>
    <row r="464" spans="1:14" ht="60" x14ac:dyDescent="0.25">
      <c r="A464" s="164">
        <v>445</v>
      </c>
      <c r="B464" s="207"/>
      <c r="C464" s="113" t="s">
        <v>76</v>
      </c>
      <c r="D464" s="42" t="s">
        <v>77</v>
      </c>
      <c r="E464" s="112" t="s">
        <v>8</v>
      </c>
      <c r="F464" s="20">
        <v>5.84</v>
      </c>
      <c r="G464" s="13">
        <v>5.28</v>
      </c>
      <c r="H464" s="13">
        <f t="shared" si="105"/>
        <v>6.4664160000000006</v>
      </c>
      <c r="I464" s="13">
        <f t="shared" si="106"/>
        <v>37.763869440000001</v>
      </c>
      <c r="J464" s="33"/>
      <c r="K464" s="34"/>
      <c r="L464" s="34"/>
      <c r="M464" s="32"/>
      <c r="N464" s="32"/>
    </row>
    <row r="465" spans="1:14" ht="75" x14ac:dyDescent="0.25">
      <c r="A465" s="164">
        <v>446</v>
      </c>
      <c r="B465" s="207" t="s">
        <v>122</v>
      </c>
      <c r="C465" s="12" t="s">
        <v>72</v>
      </c>
      <c r="D465" s="163" t="s">
        <v>73</v>
      </c>
      <c r="E465" s="112" t="s">
        <v>8</v>
      </c>
      <c r="F465" s="20">
        <f>0.8*2.1+1*1</f>
        <v>2.68</v>
      </c>
      <c r="G465" s="13">
        <v>22.57</v>
      </c>
      <c r="H465" s="13">
        <f t="shared" si="105"/>
        <v>27.641479</v>
      </c>
      <c r="I465" s="13">
        <f t="shared" si="106"/>
        <v>74.079163720000011</v>
      </c>
      <c r="J465" s="33"/>
      <c r="K465" s="34"/>
      <c r="L465" s="34"/>
      <c r="M465" s="32"/>
      <c r="N465" s="32"/>
    </row>
    <row r="466" spans="1:14" ht="60" x14ac:dyDescent="0.25">
      <c r="A466" s="164">
        <v>447</v>
      </c>
      <c r="B466" s="207"/>
      <c r="C466" s="160" t="s">
        <v>74</v>
      </c>
      <c r="D466" s="163" t="s">
        <v>75</v>
      </c>
      <c r="E466" s="112" t="s">
        <v>8</v>
      </c>
      <c r="F466" s="20">
        <v>5.84</v>
      </c>
      <c r="G466" s="13">
        <v>14.14</v>
      </c>
      <c r="H466" s="13">
        <f t="shared" si="105"/>
        <v>17.317258000000002</v>
      </c>
      <c r="I466" s="13">
        <f t="shared" si="106"/>
        <v>101.13278672000001</v>
      </c>
      <c r="J466" s="33"/>
      <c r="K466" s="34"/>
      <c r="L466" s="34"/>
      <c r="M466" s="32"/>
      <c r="N466" s="32"/>
    </row>
    <row r="467" spans="1:14" ht="60" x14ac:dyDescent="0.25">
      <c r="A467" s="164">
        <v>448</v>
      </c>
      <c r="B467" s="207"/>
      <c r="C467" s="113" t="s">
        <v>76</v>
      </c>
      <c r="D467" s="42" t="s">
        <v>77</v>
      </c>
      <c r="E467" s="112" t="s">
        <v>8</v>
      </c>
      <c r="F467" s="20">
        <v>5.84</v>
      </c>
      <c r="G467" s="13">
        <v>5.28</v>
      </c>
      <c r="H467" s="13">
        <f t="shared" si="105"/>
        <v>6.4664160000000006</v>
      </c>
      <c r="I467" s="13">
        <f t="shared" si="106"/>
        <v>37.763869440000001</v>
      </c>
      <c r="J467" s="33"/>
      <c r="K467" s="34"/>
      <c r="L467" s="34"/>
      <c r="M467" s="32"/>
      <c r="N467" s="32"/>
    </row>
    <row r="468" spans="1:14" ht="75" x14ac:dyDescent="0.25">
      <c r="A468" s="164">
        <v>449</v>
      </c>
      <c r="B468" s="207" t="s">
        <v>134</v>
      </c>
      <c r="C468" s="12" t="s">
        <v>72</v>
      </c>
      <c r="D468" s="163" t="s">
        <v>73</v>
      </c>
      <c r="E468" s="112" t="s">
        <v>8</v>
      </c>
      <c r="F468" s="20">
        <f>0.55*0.55+0.8*2.1</f>
        <v>1.9825000000000002</v>
      </c>
      <c r="G468" s="13">
        <v>22.57</v>
      </c>
      <c r="H468" s="13">
        <f t="shared" si="105"/>
        <v>27.641479</v>
      </c>
      <c r="I468" s="13">
        <f t="shared" si="106"/>
        <v>54.799232117500004</v>
      </c>
      <c r="J468" s="33"/>
      <c r="K468" s="34"/>
      <c r="L468" s="34"/>
      <c r="M468" s="32"/>
      <c r="N468" s="32"/>
    </row>
    <row r="469" spans="1:14" ht="60" x14ac:dyDescent="0.25">
      <c r="A469" s="164">
        <v>450</v>
      </c>
      <c r="B469" s="207"/>
      <c r="C469" s="160" t="s">
        <v>74</v>
      </c>
      <c r="D469" s="163" t="s">
        <v>75</v>
      </c>
      <c r="E469" s="112" t="s">
        <v>8</v>
      </c>
      <c r="F469" s="20">
        <v>2.97</v>
      </c>
      <c r="G469" s="13">
        <v>14.14</v>
      </c>
      <c r="H469" s="13">
        <f t="shared" si="105"/>
        <v>17.317258000000002</v>
      </c>
      <c r="I469" s="13">
        <f t="shared" si="106"/>
        <v>51.43225626000001</v>
      </c>
      <c r="J469" s="33"/>
      <c r="K469" s="34"/>
      <c r="L469" s="34"/>
      <c r="M469" s="32"/>
      <c r="N469" s="32"/>
    </row>
    <row r="470" spans="1:14" ht="60" x14ac:dyDescent="0.25">
      <c r="A470" s="164">
        <v>451</v>
      </c>
      <c r="B470" s="207"/>
      <c r="C470" s="113" t="s">
        <v>76</v>
      </c>
      <c r="D470" s="42" t="s">
        <v>77</v>
      </c>
      <c r="E470" s="112" t="s">
        <v>8</v>
      </c>
      <c r="F470" s="20">
        <v>2.97</v>
      </c>
      <c r="G470" s="13">
        <v>5.28</v>
      </c>
      <c r="H470" s="13">
        <f t="shared" si="105"/>
        <v>6.4664160000000006</v>
      </c>
      <c r="I470" s="13">
        <f t="shared" si="106"/>
        <v>19.205255520000001</v>
      </c>
      <c r="J470" s="33"/>
      <c r="K470" s="34"/>
      <c r="L470" s="34"/>
      <c r="M470" s="32"/>
      <c r="N470" s="32"/>
    </row>
    <row r="471" spans="1:14" ht="75" x14ac:dyDescent="0.25">
      <c r="A471" s="164">
        <v>452</v>
      </c>
      <c r="B471" s="207" t="s">
        <v>123</v>
      </c>
      <c r="C471" s="12" t="s">
        <v>72</v>
      </c>
      <c r="D471" s="163" t="s">
        <v>73</v>
      </c>
      <c r="E471" s="112" t="s">
        <v>8</v>
      </c>
      <c r="F471" s="20">
        <f>3*1.5*1.2+2*0.8*2.1</f>
        <v>8.76</v>
      </c>
      <c r="G471" s="13">
        <v>22.57</v>
      </c>
      <c r="H471" s="13">
        <f t="shared" ref="H471:H478" si="107">G471+G471*B$18</f>
        <v>27.641479</v>
      </c>
      <c r="I471" s="13">
        <f t="shared" ref="I471:I478" si="108">H471*F471</f>
        <v>242.13935604</v>
      </c>
      <c r="J471" s="33"/>
      <c r="K471" s="34"/>
      <c r="L471" s="34"/>
      <c r="M471" s="32"/>
      <c r="N471" s="32"/>
    </row>
    <row r="472" spans="1:14" ht="60" x14ac:dyDescent="0.25">
      <c r="A472" s="164">
        <v>453</v>
      </c>
      <c r="B472" s="207"/>
      <c r="C472" s="160" t="s">
        <v>74</v>
      </c>
      <c r="D472" s="163" t="s">
        <v>75</v>
      </c>
      <c r="E472" s="112" t="s">
        <v>8</v>
      </c>
      <c r="F472" s="20">
        <f>20.99</f>
        <v>20.99</v>
      </c>
      <c r="G472" s="13">
        <v>14.14</v>
      </c>
      <c r="H472" s="13">
        <f t="shared" si="107"/>
        <v>17.317258000000002</v>
      </c>
      <c r="I472" s="13">
        <f t="shared" si="108"/>
        <v>363.48924542000003</v>
      </c>
      <c r="J472" s="33"/>
      <c r="K472" s="34"/>
      <c r="L472" s="34"/>
      <c r="M472" s="32"/>
      <c r="N472" s="32"/>
    </row>
    <row r="473" spans="1:14" ht="60" x14ac:dyDescent="0.25">
      <c r="A473" s="164">
        <v>454</v>
      </c>
      <c r="B473" s="207"/>
      <c r="C473" s="113" t="s">
        <v>76</v>
      </c>
      <c r="D473" s="42" t="s">
        <v>77</v>
      </c>
      <c r="E473" s="112" t="s">
        <v>8</v>
      </c>
      <c r="F473" s="20">
        <v>20.99</v>
      </c>
      <c r="G473" s="13">
        <v>5.28</v>
      </c>
      <c r="H473" s="13">
        <f t="shared" si="107"/>
        <v>6.4664160000000006</v>
      </c>
      <c r="I473" s="13">
        <f t="shared" si="108"/>
        <v>135.73007183999999</v>
      </c>
      <c r="J473" s="33"/>
      <c r="K473" s="34"/>
      <c r="L473" s="34"/>
      <c r="M473" s="32"/>
      <c r="N473" s="32"/>
    </row>
    <row r="474" spans="1:14" ht="45" x14ac:dyDescent="0.25">
      <c r="A474" s="164">
        <v>455</v>
      </c>
      <c r="B474" s="207" t="s">
        <v>125</v>
      </c>
      <c r="C474" s="12" t="s">
        <v>68</v>
      </c>
      <c r="D474" s="25" t="s">
        <v>69</v>
      </c>
      <c r="E474" s="112" t="s">
        <v>8</v>
      </c>
      <c r="F474" s="20">
        <f>14.55*3.3+2.7*3+3.75*3.15+1*(3+3.15)/2+5.85*(3.15+3.8)/2+1.5*(3.8+3)/2+14.94*3+8.14*3+8.14*1/2+6.39*(3.3+3)/2+14.35*3.3+15.4*3.6</f>
        <v>292.66474999999997</v>
      </c>
      <c r="G474" s="13">
        <v>8.64</v>
      </c>
      <c r="H474" s="13">
        <f t="shared" si="107"/>
        <v>10.581408000000001</v>
      </c>
      <c r="I474" s="13">
        <f t="shared" si="108"/>
        <v>3096.805126968</v>
      </c>
      <c r="J474" s="33"/>
      <c r="K474" s="34"/>
      <c r="L474" s="34"/>
      <c r="M474" s="32"/>
      <c r="N474" s="32"/>
    </row>
    <row r="475" spans="1:14" ht="60" x14ac:dyDescent="0.25">
      <c r="A475" s="164">
        <v>456</v>
      </c>
      <c r="B475" s="207"/>
      <c r="C475" s="12" t="s">
        <v>70</v>
      </c>
      <c r="D475" s="25" t="s">
        <v>71</v>
      </c>
      <c r="E475" s="112" t="s">
        <v>8</v>
      </c>
      <c r="F475" s="20">
        <f>F474</f>
        <v>292.66474999999997</v>
      </c>
      <c r="G475" s="13">
        <v>4.21</v>
      </c>
      <c r="H475" s="13">
        <f t="shared" si="107"/>
        <v>5.1559869999999997</v>
      </c>
      <c r="I475" s="13">
        <f t="shared" si="108"/>
        <v>1508.9756463582498</v>
      </c>
      <c r="J475" s="33"/>
      <c r="K475" s="34"/>
      <c r="L475" s="34"/>
      <c r="M475" s="32"/>
      <c r="N475" s="32"/>
    </row>
    <row r="476" spans="1:14" ht="45" x14ac:dyDescent="0.25">
      <c r="A476" s="164">
        <v>457</v>
      </c>
      <c r="B476" s="207" t="s">
        <v>124</v>
      </c>
      <c r="C476" s="12" t="s">
        <v>68</v>
      </c>
      <c r="D476" s="25" t="s">
        <v>69</v>
      </c>
      <c r="E476" s="112" t="s">
        <v>8</v>
      </c>
      <c r="F476" s="20">
        <f>F477</f>
        <v>319</v>
      </c>
      <c r="G476" s="13">
        <v>8.64</v>
      </c>
      <c r="H476" s="13">
        <f t="shared" si="107"/>
        <v>10.581408000000001</v>
      </c>
      <c r="I476" s="13">
        <f t="shared" si="108"/>
        <v>3375.4691520000006</v>
      </c>
      <c r="J476" s="33"/>
      <c r="K476" s="34"/>
      <c r="L476" s="34"/>
      <c r="M476" s="32"/>
      <c r="N476" s="32"/>
    </row>
    <row r="477" spans="1:14" ht="60" x14ac:dyDescent="0.25">
      <c r="A477" s="164">
        <v>458</v>
      </c>
      <c r="B477" s="207"/>
      <c r="C477" s="12" t="s">
        <v>70</v>
      </c>
      <c r="D477" s="25" t="s">
        <v>71</v>
      </c>
      <c r="E477" s="112" t="s">
        <v>8</v>
      </c>
      <c r="F477" s="20">
        <f>145*2.2</f>
        <v>319</v>
      </c>
      <c r="G477" s="13">
        <v>4.21</v>
      </c>
      <c r="H477" s="13">
        <f t="shared" si="107"/>
        <v>5.1559869999999997</v>
      </c>
      <c r="I477" s="13">
        <f t="shared" si="108"/>
        <v>1644.7598529999998</v>
      </c>
      <c r="J477" s="33"/>
      <c r="K477" s="34"/>
      <c r="L477" s="34"/>
      <c r="M477" s="32"/>
      <c r="N477" s="32"/>
    </row>
    <row r="478" spans="1:14" ht="75" x14ac:dyDescent="0.25">
      <c r="A478" s="164">
        <v>459</v>
      </c>
      <c r="B478" s="207"/>
      <c r="C478" s="12" t="s">
        <v>72</v>
      </c>
      <c r="D478" s="163" t="s">
        <v>73</v>
      </c>
      <c r="E478" s="112" t="s">
        <v>8</v>
      </c>
      <c r="F478" s="20">
        <f>3*2.2</f>
        <v>6.6000000000000005</v>
      </c>
      <c r="G478" s="13">
        <v>22.57</v>
      </c>
      <c r="H478" s="13">
        <f t="shared" si="107"/>
        <v>27.641479</v>
      </c>
      <c r="I478" s="13">
        <f t="shared" si="108"/>
        <v>182.43376140000001</v>
      </c>
      <c r="J478" s="33"/>
      <c r="K478" s="34"/>
      <c r="L478" s="34"/>
      <c r="M478" s="32"/>
      <c r="N478" s="32"/>
    </row>
    <row r="479" spans="1:14" ht="45" customHeight="1" x14ac:dyDescent="0.25">
      <c r="A479" s="164">
        <v>460</v>
      </c>
      <c r="B479" s="208" t="s">
        <v>135</v>
      </c>
      <c r="C479" s="208"/>
      <c r="D479" s="208"/>
      <c r="E479" s="208"/>
      <c r="F479" s="208"/>
      <c r="G479" s="208"/>
      <c r="H479" s="208"/>
      <c r="I479" s="30">
        <f>SUM(I480:I573)</f>
        <v>42058.057737567498</v>
      </c>
      <c r="J479" s="33"/>
      <c r="K479" s="34"/>
      <c r="L479" s="34"/>
      <c r="M479" s="32"/>
      <c r="N479" s="32"/>
    </row>
    <row r="480" spans="1:14" ht="45" customHeight="1" x14ac:dyDescent="0.25">
      <c r="A480" s="164">
        <v>461</v>
      </c>
      <c r="B480" s="112"/>
      <c r="C480" s="150" t="s">
        <v>155</v>
      </c>
      <c r="D480" s="151" t="s">
        <v>154</v>
      </c>
      <c r="E480" s="112" t="s">
        <v>8</v>
      </c>
      <c r="F480" s="112">
        <v>2.88</v>
      </c>
      <c r="G480" s="112">
        <v>312.06</v>
      </c>
      <c r="H480" s="13">
        <f t="shared" ref="H480" si="109">G480+G480*B$18</f>
        <v>382.17988200000002</v>
      </c>
      <c r="I480" s="13">
        <f t="shared" ref="I480" si="110">H480*F480</f>
        <v>1100.6780601600001</v>
      </c>
      <c r="J480" s="33"/>
      <c r="K480" s="34"/>
      <c r="L480" s="34"/>
      <c r="M480" s="32"/>
      <c r="N480" s="32"/>
    </row>
    <row r="481" spans="1:14" ht="75" x14ac:dyDescent="0.25">
      <c r="A481" s="164">
        <v>462</v>
      </c>
      <c r="B481" s="209" t="s">
        <v>104</v>
      </c>
      <c r="C481" s="112" t="s">
        <v>150</v>
      </c>
      <c r="D481" s="163" t="s">
        <v>147</v>
      </c>
      <c r="E481" s="112" t="s">
        <v>146</v>
      </c>
      <c r="F481" s="112">
        <v>4</v>
      </c>
      <c r="G481" s="112">
        <v>12</v>
      </c>
      <c r="H481" s="13">
        <f t="shared" ref="H481:H482" si="111">G481+G481*B$18</f>
        <v>14.696400000000001</v>
      </c>
      <c r="I481" s="13">
        <f t="shared" ref="I481:I482" si="112">H481*F481</f>
        <v>58.785600000000002</v>
      </c>
      <c r="J481" s="33"/>
      <c r="K481" s="34"/>
      <c r="L481" s="34"/>
      <c r="M481" s="32"/>
      <c r="N481" s="32"/>
    </row>
    <row r="482" spans="1:14" ht="45" customHeight="1" x14ac:dyDescent="0.25">
      <c r="A482" s="164">
        <v>463</v>
      </c>
      <c r="B482" s="209"/>
      <c r="C482" s="112" t="s">
        <v>149</v>
      </c>
      <c r="D482" s="163" t="s">
        <v>148</v>
      </c>
      <c r="E482" s="112" t="s">
        <v>19</v>
      </c>
      <c r="F482" s="112">
        <v>4</v>
      </c>
      <c r="G482" s="142">
        <v>6.52</v>
      </c>
      <c r="H482" s="13">
        <f t="shared" si="111"/>
        <v>7.9850439999999994</v>
      </c>
      <c r="I482" s="13">
        <f t="shared" si="112"/>
        <v>31.940175999999997</v>
      </c>
      <c r="J482" s="33"/>
      <c r="K482" s="34"/>
      <c r="L482" s="34"/>
      <c r="M482" s="32"/>
      <c r="N482" s="32"/>
    </row>
    <row r="483" spans="1:14" ht="45" x14ac:dyDescent="0.25">
      <c r="A483" s="164">
        <v>464</v>
      </c>
      <c r="B483" s="207" t="s">
        <v>114</v>
      </c>
      <c r="C483" s="12" t="s">
        <v>68</v>
      </c>
      <c r="D483" s="25" t="s">
        <v>69</v>
      </c>
      <c r="E483" s="112" t="s">
        <v>8</v>
      </c>
      <c r="F483" s="20">
        <f>24.6*2.8-F485</f>
        <v>61.8</v>
      </c>
      <c r="G483" s="13">
        <v>8.64</v>
      </c>
      <c r="H483" s="13">
        <f t="shared" ref="H483:H514" si="113">G483+G483*B$18</f>
        <v>10.581408000000001</v>
      </c>
      <c r="I483" s="13">
        <f t="shared" ref="I483:I514" si="114">H483*F483</f>
        <v>653.93101440000009</v>
      </c>
      <c r="J483" s="33"/>
      <c r="K483" s="34"/>
      <c r="L483" s="34"/>
      <c r="M483" s="32"/>
      <c r="N483" s="32"/>
    </row>
    <row r="484" spans="1:14" ht="60" x14ac:dyDescent="0.25">
      <c r="A484" s="164">
        <v>465</v>
      </c>
      <c r="B484" s="207"/>
      <c r="C484" s="12" t="s">
        <v>70</v>
      </c>
      <c r="D484" s="25" t="s">
        <v>71</v>
      </c>
      <c r="E484" s="112" t="s">
        <v>8</v>
      </c>
      <c r="F484" s="20">
        <f>F483</f>
        <v>61.8</v>
      </c>
      <c r="G484" s="13">
        <v>4.21</v>
      </c>
      <c r="H484" s="13">
        <f t="shared" si="113"/>
        <v>5.1559869999999997</v>
      </c>
      <c r="I484" s="13">
        <f t="shared" si="114"/>
        <v>318.63999659999996</v>
      </c>
      <c r="J484" s="33"/>
      <c r="K484" s="34"/>
      <c r="L484" s="34"/>
      <c r="M484" s="32"/>
      <c r="N484" s="32"/>
    </row>
    <row r="485" spans="1:14" ht="75" x14ac:dyDescent="0.25">
      <c r="A485" s="164">
        <v>466</v>
      </c>
      <c r="B485" s="207"/>
      <c r="C485" s="12" t="s">
        <v>72</v>
      </c>
      <c r="D485" s="163" t="s">
        <v>73</v>
      </c>
      <c r="E485" s="112" t="s">
        <v>8</v>
      </c>
      <c r="F485" s="20">
        <f>3*1.5*1.2+0.8*2.1</f>
        <v>7.08</v>
      </c>
      <c r="G485" s="13">
        <v>22.57</v>
      </c>
      <c r="H485" s="13">
        <f t="shared" si="113"/>
        <v>27.641479</v>
      </c>
      <c r="I485" s="13">
        <f t="shared" si="114"/>
        <v>195.70167132</v>
      </c>
      <c r="J485" s="33"/>
      <c r="K485" s="34"/>
      <c r="L485" s="34"/>
      <c r="M485" s="32"/>
      <c r="N485" s="32"/>
    </row>
    <row r="486" spans="1:14" ht="60" x14ac:dyDescent="0.25">
      <c r="A486" s="164">
        <v>467</v>
      </c>
      <c r="B486" s="207"/>
      <c r="C486" s="160" t="s">
        <v>74</v>
      </c>
      <c r="D486" s="163" t="s">
        <v>75</v>
      </c>
      <c r="E486" s="112" t="s">
        <v>8</v>
      </c>
      <c r="F486" s="20">
        <v>37.729999999999997</v>
      </c>
      <c r="G486" s="13">
        <v>14.14</v>
      </c>
      <c r="H486" s="13">
        <f t="shared" si="113"/>
        <v>17.317258000000002</v>
      </c>
      <c r="I486" s="13">
        <f t="shared" si="114"/>
        <v>653.38014434000002</v>
      </c>
      <c r="J486" s="33"/>
      <c r="K486" s="34"/>
      <c r="L486" s="34"/>
      <c r="M486" s="32"/>
      <c r="N486" s="32"/>
    </row>
    <row r="487" spans="1:14" ht="60" x14ac:dyDescent="0.25">
      <c r="A487" s="164">
        <v>468</v>
      </c>
      <c r="B487" s="207"/>
      <c r="C487" s="113" t="s">
        <v>76</v>
      </c>
      <c r="D487" s="42" t="s">
        <v>77</v>
      </c>
      <c r="E487" s="112" t="s">
        <v>8</v>
      </c>
      <c r="F487" s="20">
        <v>37.729999999999997</v>
      </c>
      <c r="G487" s="13">
        <v>5.28</v>
      </c>
      <c r="H487" s="13">
        <f t="shared" si="113"/>
        <v>6.4664160000000006</v>
      </c>
      <c r="I487" s="13">
        <f t="shared" si="114"/>
        <v>243.97787568000001</v>
      </c>
      <c r="J487" s="33"/>
      <c r="K487" s="34"/>
      <c r="L487" s="34"/>
      <c r="M487" s="32"/>
      <c r="N487" s="32"/>
    </row>
    <row r="488" spans="1:14" ht="45" x14ac:dyDescent="0.25">
      <c r="A488" s="164">
        <v>469</v>
      </c>
      <c r="B488" s="207" t="s">
        <v>115</v>
      </c>
      <c r="C488" s="12" t="s">
        <v>68</v>
      </c>
      <c r="D488" s="25" t="s">
        <v>69</v>
      </c>
      <c r="E488" s="112" t="s">
        <v>8</v>
      </c>
      <c r="F488" s="20">
        <f>24.6*2.8-F490</f>
        <v>63.599999999999994</v>
      </c>
      <c r="G488" s="13">
        <v>8.64</v>
      </c>
      <c r="H488" s="13">
        <f t="shared" si="113"/>
        <v>10.581408000000001</v>
      </c>
      <c r="I488" s="13">
        <f t="shared" si="114"/>
        <v>672.97754880000002</v>
      </c>
      <c r="J488" s="33"/>
      <c r="K488" s="34"/>
      <c r="L488" s="34"/>
      <c r="M488" s="32"/>
      <c r="N488" s="32"/>
    </row>
    <row r="489" spans="1:14" ht="60" x14ac:dyDescent="0.25">
      <c r="A489" s="164">
        <v>470</v>
      </c>
      <c r="B489" s="207"/>
      <c r="C489" s="12" t="s">
        <v>70</v>
      </c>
      <c r="D489" s="25" t="s">
        <v>71</v>
      </c>
      <c r="E489" s="112" t="s">
        <v>8</v>
      </c>
      <c r="F489" s="20">
        <f>F488</f>
        <v>63.599999999999994</v>
      </c>
      <c r="G489" s="13">
        <v>4.21</v>
      </c>
      <c r="H489" s="13">
        <f t="shared" si="113"/>
        <v>5.1559869999999997</v>
      </c>
      <c r="I489" s="13">
        <f t="shared" si="114"/>
        <v>327.92077319999993</v>
      </c>
      <c r="J489" s="33"/>
      <c r="K489" s="34"/>
      <c r="L489" s="34"/>
      <c r="M489" s="32"/>
      <c r="N489" s="32"/>
    </row>
    <row r="490" spans="1:14" ht="75" x14ac:dyDescent="0.25">
      <c r="A490" s="164">
        <v>471</v>
      </c>
      <c r="B490" s="207"/>
      <c r="C490" s="12" t="s">
        <v>72</v>
      </c>
      <c r="D490" s="163" t="s">
        <v>73</v>
      </c>
      <c r="E490" s="112" t="s">
        <v>8</v>
      </c>
      <c r="F490" s="20">
        <f>2*1.5*1.2+0.8*2.1</f>
        <v>5.2799999999999994</v>
      </c>
      <c r="G490" s="13">
        <v>22.57</v>
      </c>
      <c r="H490" s="13">
        <f t="shared" si="113"/>
        <v>27.641479</v>
      </c>
      <c r="I490" s="13">
        <f t="shared" si="114"/>
        <v>145.94700911999999</v>
      </c>
      <c r="J490" s="33"/>
      <c r="K490" s="34"/>
      <c r="L490" s="34"/>
      <c r="M490" s="32"/>
      <c r="N490" s="32"/>
    </row>
    <row r="491" spans="1:14" ht="60" x14ac:dyDescent="0.25">
      <c r="A491" s="164">
        <v>472</v>
      </c>
      <c r="B491" s="207"/>
      <c r="C491" s="160" t="s">
        <v>74</v>
      </c>
      <c r="D491" s="163" t="s">
        <v>75</v>
      </c>
      <c r="E491" s="112" t="s">
        <v>8</v>
      </c>
      <c r="F491" s="20">
        <v>37.729999999999997</v>
      </c>
      <c r="G491" s="13">
        <v>14.14</v>
      </c>
      <c r="H491" s="13">
        <f t="shared" si="113"/>
        <v>17.317258000000002</v>
      </c>
      <c r="I491" s="13">
        <f t="shared" si="114"/>
        <v>653.38014434000002</v>
      </c>
      <c r="J491" s="33"/>
      <c r="K491" s="34"/>
      <c r="L491" s="34"/>
      <c r="M491" s="32"/>
      <c r="N491" s="32"/>
    </row>
    <row r="492" spans="1:14" ht="60" x14ac:dyDescent="0.25">
      <c r="A492" s="164">
        <v>473</v>
      </c>
      <c r="B492" s="207"/>
      <c r="C492" s="113" t="s">
        <v>76</v>
      </c>
      <c r="D492" s="42" t="s">
        <v>77</v>
      </c>
      <c r="E492" s="112" t="s">
        <v>8</v>
      </c>
      <c r="F492" s="20">
        <v>37.729999999999997</v>
      </c>
      <c r="G492" s="13">
        <v>5.28</v>
      </c>
      <c r="H492" s="13">
        <f t="shared" si="113"/>
        <v>6.4664160000000006</v>
      </c>
      <c r="I492" s="13">
        <f t="shared" si="114"/>
        <v>243.97787568000001</v>
      </c>
      <c r="J492" s="33"/>
      <c r="K492" s="34"/>
      <c r="L492" s="34"/>
      <c r="M492" s="32"/>
      <c r="N492" s="32"/>
    </row>
    <row r="493" spans="1:14" ht="45" x14ac:dyDescent="0.25">
      <c r="A493" s="164">
        <v>474</v>
      </c>
      <c r="B493" s="207" t="s">
        <v>103</v>
      </c>
      <c r="C493" s="12" t="s">
        <v>68</v>
      </c>
      <c r="D493" s="25" t="s">
        <v>69</v>
      </c>
      <c r="E493" s="112" t="s">
        <v>8</v>
      </c>
      <c r="F493" s="20">
        <f>24.6*2.8-F495</f>
        <v>61.919999999999995</v>
      </c>
      <c r="G493" s="13">
        <v>8.64</v>
      </c>
      <c r="H493" s="13">
        <f t="shared" si="113"/>
        <v>10.581408000000001</v>
      </c>
      <c r="I493" s="13">
        <f t="shared" si="114"/>
        <v>655.20078336000006</v>
      </c>
      <c r="J493" s="33"/>
      <c r="K493" s="34"/>
      <c r="L493" s="34"/>
      <c r="M493" s="32"/>
      <c r="N493" s="32"/>
    </row>
    <row r="494" spans="1:14" ht="60" x14ac:dyDescent="0.25">
      <c r="A494" s="164">
        <v>475</v>
      </c>
      <c r="B494" s="207"/>
      <c r="C494" s="12" t="s">
        <v>70</v>
      </c>
      <c r="D494" s="25" t="s">
        <v>71</v>
      </c>
      <c r="E494" s="112" t="s">
        <v>8</v>
      </c>
      <c r="F494" s="20">
        <f>F493</f>
        <v>61.919999999999995</v>
      </c>
      <c r="G494" s="13">
        <v>4.21</v>
      </c>
      <c r="H494" s="13">
        <f t="shared" si="113"/>
        <v>5.1559869999999997</v>
      </c>
      <c r="I494" s="13">
        <f t="shared" si="114"/>
        <v>319.25871503999997</v>
      </c>
      <c r="J494" s="33"/>
      <c r="K494" s="34"/>
      <c r="L494" s="34"/>
      <c r="M494" s="32"/>
      <c r="N494" s="32"/>
    </row>
    <row r="495" spans="1:14" ht="75" x14ac:dyDescent="0.25">
      <c r="A495" s="164">
        <v>476</v>
      </c>
      <c r="B495" s="207"/>
      <c r="C495" s="12" t="s">
        <v>72</v>
      </c>
      <c r="D495" s="163" t="s">
        <v>73</v>
      </c>
      <c r="E495" s="112" t="s">
        <v>8</v>
      </c>
      <c r="F495" s="20">
        <f>2*1.5*1.2+2*0.8*2.1</f>
        <v>6.96</v>
      </c>
      <c r="G495" s="13">
        <v>22.57</v>
      </c>
      <c r="H495" s="13">
        <f t="shared" si="113"/>
        <v>27.641479</v>
      </c>
      <c r="I495" s="13">
        <f t="shared" si="114"/>
        <v>192.38469384000001</v>
      </c>
      <c r="J495" s="33"/>
      <c r="K495" s="34"/>
      <c r="L495" s="34"/>
      <c r="M495" s="32"/>
      <c r="N495" s="32"/>
    </row>
    <row r="496" spans="1:14" ht="60" x14ac:dyDescent="0.25">
      <c r="A496" s="164">
        <v>477</v>
      </c>
      <c r="B496" s="207"/>
      <c r="C496" s="160" t="s">
        <v>74</v>
      </c>
      <c r="D496" s="163" t="s">
        <v>75</v>
      </c>
      <c r="E496" s="112" t="s">
        <v>8</v>
      </c>
      <c r="F496" s="20">
        <v>37.729999999999997</v>
      </c>
      <c r="G496" s="13">
        <v>14.14</v>
      </c>
      <c r="H496" s="13">
        <f t="shared" si="113"/>
        <v>17.317258000000002</v>
      </c>
      <c r="I496" s="13">
        <f t="shared" si="114"/>
        <v>653.38014434000002</v>
      </c>
      <c r="J496" s="33"/>
      <c r="K496" s="34"/>
      <c r="L496" s="34"/>
      <c r="M496" s="32"/>
      <c r="N496" s="32"/>
    </row>
    <row r="497" spans="1:14" ht="60" x14ac:dyDescent="0.25">
      <c r="A497" s="164">
        <v>478</v>
      </c>
      <c r="B497" s="207"/>
      <c r="C497" s="113" t="s">
        <v>76</v>
      </c>
      <c r="D497" s="42" t="s">
        <v>77</v>
      </c>
      <c r="E497" s="112" t="s">
        <v>8</v>
      </c>
      <c r="F497" s="20">
        <v>37.729999999999997</v>
      </c>
      <c r="G497" s="13">
        <v>5.28</v>
      </c>
      <c r="H497" s="13">
        <f t="shared" si="113"/>
        <v>6.4664160000000006</v>
      </c>
      <c r="I497" s="13">
        <f t="shared" si="114"/>
        <v>243.97787568000001</v>
      </c>
      <c r="J497" s="33"/>
      <c r="K497" s="34"/>
      <c r="L497" s="34"/>
      <c r="M497" s="32"/>
      <c r="N497" s="32"/>
    </row>
    <row r="498" spans="1:14" ht="45" x14ac:dyDescent="0.25">
      <c r="A498" s="164">
        <v>479</v>
      </c>
      <c r="B498" s="207" t="s">
        <v>116</v>
      </c>
      <c r="C498" s="12" t="s">
        <v>68</v>
      </c>
      <c r="D498" s="25" t="s">
        <v>69</v>
      </c>
      <c r="E498" s="112" t="s">
        <v>8</v>
      </c>
      <c r="F498" s="20">
        <f>19.9*2.8-F500</f>
        <v>50.439999999999991</v>
      </c>
      <c r="G498" s="13">
        <v>8.64</v>
      </c>
      <c r="H498" s="13">
        <f t="shared" si="113"/>
        <v>10.581408000000001</v>
      </c>
      <c r="I498" s="13">
        <f t="shared" si="114"/>
        <v>533.72621951999997</v>
      </c>
      <c r="J498" s="33"/>
      <c r="K498" s="34"/>
      <c r="L498" s="34"/>
      <c r="M498" s="32"/>
      <c r="N498" s="32"/>
    </row>
    <row r="499" spans="1:14" ht="60" x14ac:dyDescent="0.25">
      <c r="A499" s="164">
        <v>480</v>
      </c>
      <c r="B499" s="207"/>
      <c r="C499" s="12" t="s">
        <v>70</v>
      </c>
      <c r="D499" s="25" t="s">
        <v>71</v>
      </c>
      <c r="E499" s="112" t="s">
        <v>8</v>
      </c>
      <c r="F499" s="20">
        <f>F498</f>
        <v>50.439999999999991</v>
      </c>
      <c r="G499" s="13">
        <v>4.21</v>
      </c>
      <c r="H499" s="13">
        <f t="shared" si="113"/>
        <v>5.1559869999999997</v>
      </c>
      <c r="I499" s="13">
        <f t="shared" si="114"/>
        <v>260.06798427999996</v>
      </c>
      <c r="J499" s="33"/>
      <c r="K499" s="34"/>
      <c r="L499" s="34"/>
      <c r="M499" s="32"/>
      <c r="N499" s="32"/>
    </row>
    <row r="500" spans="1:14" ht="75" x14ac:dyDescent="0.25">
      <c r="A500" s="164">
        <v>481</v>
      </c>
      <c r="B500" s="207"/>
      <c r="C500" s="12" t="s">
        <v>72</v>
      </c>
      <c r="D500" s="163" t="s">
        <v>73</v>
      </c>
      <c r="E500" s="112" t="s">
        <v>8</v>
      </c>
      <c r="F500" s="20">
        <f>2*1.5*1.2+0.8*2.1</f>
        <v>5.2799999999999994</v>
      </c>
      <c r="G500" s="13">
        <v>22.57</v>
      </c>
      <c r="H500" s="13">
        <f t="shared" si="113"/>
        <v>27.641479</v>
      </c>
      <c r="I500" s="13">
        <f t="shared" si="114"/>
        <v>145.94700911999999</v>
      </c>
      <c r="J500" s="33"/>
      <c r="K500" s="34"/>
      <c r="L500" s="34"/>
      <c r="M500" s="32"/>
      <c r="N500" s="32"/>
    </row>
    <row r="501" spans="1:14" ht="60" x14ac:dyDescent="0.25">
      <c r="A501" s="164">
        <v>482</v>
      </c>
      <c r="B501" s="207"/>
      <c r="C501" s="160" t="s">
        <v>74</v>
      </c>
      <c r="D501" s="163" t="s">
        <v>75</v>
      </c>
      <c r="E501" s="112" t="s">
        <v>8</v>
      </c>
      <c r="F501" s="20">
        <v>18.13</v>
      </c>
      <c r="G501" s="13">
        <v>14.14</v>
      </c>
      <c r="H501" s="13">
        <f t="shared" si="113"/>
        <v>17.317258000000002</v>
      </c>
      <c r="I501" s="13">
        <f t="shared" si="114"/>
        <v>313.96188754000002</v>
      </c>
      <c r="J501" s="33"/>
      <c r="K501" s="34"/>
      <c r="L501" s="34"/>
      <c r="M501" s="32"/>
      <c r="N501" s="32"/>
    </row>
    <row r="502" spans="1:14" ht="60" x14ac:dyDescent="0.25">
      <c r="A502" s="164">
        <v>483</v>
      </c>
      <c r="B502" s="207"/>
      <c r="C502" s="113" t="s">
        <v>76</v>
      </c>
      <c r="D502" s="42" t="s">
        <v>77</v>
      </c>
      <c r="E502" s="112" t="s">
        <v>8</v>
      </c>
      <c r="F502" s="20">
        <v>18.13</v>
      </c>
      <c r="G502" s="13">
        <v>5.28</v>
      </c>
      <c r="H502" s="13">
        <f t="shared" si="113"/>
        <v>6.4664160000000006</v>
      </c>
      <c r="I502" s="13">
        <f t="shared" si="114"/>
        <v>117.23612208</v>
      </c>
      <c r="J502" s="33"/>
      <c r="K502" s="34"/>
      <c r="L502" s="34"/>
      <c r="M502" s="32"/>
      <c r="N502" s="32"/>
    </row>
    <row r="503" spans="1:14" ht="45" x14ac:dyDescent="0.25">
      <c r="A503" s="164">
        <v>484</v>
      </c>
      <c r="B503" s="207" t="s">
        <v>117</v>
      </c>
      <c r="C503" s="12" t="s">
        <v>68</v>
      </c>
      <c r="D503" s="25" t="s">
        <v>69</v>
      </c>
      <c r="E503" s="112" t="s">
        <v>8</v>
      </c>
      <c r="F503" s="20">
        <f>28*2.8-F505</f>
        <v>69.52</v>
      </c>
      <c r="G503" s="13">
        <v>8.64</v>
      </c>
      <c r="H503" s="13">
        <f t="shared" si="113"/>
        <v>10.581408000000001</v>
      </c>
      <c r="I503" s="13">
        <f t="shared" si="114"/>
        <v>735.61948416000007</v>
      </c>
      <c r="J503" s="33"/>
      <c r="K503" s="34"/>
      <c r="L503" s="34"/>
      <c r="M503" s="32"/>
      <c r="N503" s="32"/>
    </row>
    <row r="504" spans="1:14" ht="60" x14ac:dyDescent="0.25">
      <c r="A504" s="164">
        <v>485</v>
      </c>
      <c r="B504" s="207"/>
      <c r="C504" s="12" t="s">
        <v>70</v>
      </c>
      <c r="D504" s="25" t="s">
        <v>71</v>
      </c>
      <c r="E504" s="112" t="s">
        <v>8</v>
      </c>
      <c r="F504" s="20">
        <f>F503</f>
        <v>69.52</v>
      </c>
      <c r="G504" s="13">
        <v>4.21</v>
      </c>
      <c r="H504" s="13">
        <f t="shared" si="113"/>
        <v>5.1559869999999997</v>
      </c>
      <c r="I504" s="13">
        <f t="shared" si="114"/>
        <v>358.44421623999995</v>
      </c>
      <c r="J504" s="33"/>
      <c r="K504" s="34"/>
      <c r="L504" s="34"/>
      <c r="M504" s="32"/>
      <c r="N504" s="32"/>
    </row>
    <row r="505" spans="1:14" ht="75" x14ac:dyDescent="0.25">
      <c r="A505" s="164">
        <v>486</v>
      </c>
      <c r="B505" s="207"/>
      <c r="C505" s="12" t="s">
        <v>72</v>
      </c>
      <c r="D505" s="163" t="s">
        <v>73</v>
      </c>
      <c r="E505" s="112" t="s">
        <v>8</v>
      </c>
      <c r="F505" s="20">
        <f>4*1.5*1.2+0.8*2.1</f>
        <v>8.879999999999999</v>
      </c>
      <c r="G505" s="13">
        <v>22.57</v>
      </c>
      <c r="H505" s="13">
        <f t="shared" si="113"/>
        <v>27.641479</v>
      </c>
      <c r="I505" s="13">
        <f t="shared" si="114"/>
        <v>245.45633351999999</v>
      </c>
      <c r="J505" s="33"/>
      <c r="K505" s="34"/>
      <c r="L505" s="34"/>
      <c r="M505" s="32"/>
      <c r="N505" s="32"/>
    </row>
    <row r="506" spans="1:14" ht="60" x14ac:dyDescent="0.25">
      <c r="A506" s="164">
        <v>487</v>
      </c>
      <c r="B506" s="207"/>
      <c r="C506" s="160" t="s">
        <v>74</v>
      </c>
      <c r="D506" s="163" t="s">
        <v>75</v>
      </c>
      <c r="E506" s="112" t="s">
        <v>8</v>
      </c>
      <c r="F506" s="20">
        <v>45.19</v>
      </c>
      <c r="G506" s="13">
        <v>14.14</v>
      </c>
      <c r="H506" s="13">
        <f t="shared" si="113"/>
        <v>17.317258000000002</v>
      </c>
      <c r="I506" s="13">
        <f t="shared" si="114"/>
        <v>782.56688902000008</v>
      </c>
      <c r="J506" s="33"/>
      <c r="K506" s="34"/>
      <c r="L506" s="34"/>
      <c r="M506" s="32"/>
      <c r="N506" s="32"/>
    </row>
    <row r="507" spans="1:14" ht="60" x14ac:dyDescent="0.25">
      <c r="A507" s="164">
        <v>488</v>
      </c>
      <c r="B507" s="207"/>
      <c r="C507" s="113" t="s">
        <v>76</v>
      </c>
      <c r="D507" s="42" t="s">
        <v>77</v>
      </c>
      <c r="E507" s="112" t="s">
        <v>8</v>
      </c>
      <c r="F507" s="20">
        <v>45.19</v>
      </c>
      <c r="G507" s="13">
        <v>5.28</v>
      </c>
      <c r="H507" s="13">
        <f t="shared" si="113"/>
        <v>6.4664160000000006</v>
      </c>
      <c r="I507" s="13">
        <f t="shared" si="114"/>
        <v>292.21733904000001</v>
      </c>
      <c r="J507" s="33"/>
      <c r="K507" s="34"/>
      <c r="L507" s="34"/>
      <c r="M507" s="32"/>
      <c r="N507" s="32"/>
    </row>
    <row r="508" spans="1:14" ht="45" x14ac:dyDescent="0.25">
      <c r="A508" s="164">
        <v>489</v>
      </c>
      <c r="B508" s="207" t="s">
        <v>118</v>
      </c>
      <c r="C508" s="12" t="s">
        <v>68</v>
      </c>
      <c r="D508" s="25" t="s">
        <v>69</v>
      </c>
      <c r="E508" s="112" t="s">
        <v>8</v>
      </c>
      <c r="F508" s="20">
        <f>24.5*2.8-F510</f>
        <v>63.319999999999993</v>
      </c>
      <c r="G508" s="13">
        <v>8.64</v>
      </c>
      <c r="H508" s="13">
        <f t="shared" si="113"/>
        <v>10.581408000000001</v>
      </c>
      <c r="I508" s="13">
        <f t="shared" si="114"/>
        <v>670.01475456000003</v>
      </c>
      <c r="J508" s="33"/>
      <c r="K508" s="34"/>
      <c r="L508" s="34"/>
      <c r="M508" s="32"/>
      <c r="N508" s="32"/>
    </row>
    <row r="509" spans="1:14" ht="60" x14ac:dyDescent="0.25">
      <c r="A509" s="164">
        <v>490</v>
      </c>
      <c r="B509" s="207"/>
      <c r="C509" s="12" t="s">
        <v>70</v>
      </c>
      <c r="D509" s="25" t="s">
        <v>71</v>
      </c>
      <c r="E509" s="112" t="s">
        <v>8</v>
      </c>
      <c r="F509" s="20">
        <f>F508</f>
        <v>63.319999999999993</v>
      </c>
      <c r="G509" s="13">
        <v>4.21</v>
      </c>
      <c r="H509" s="13">
        <f t="shared" si="113"/>
        <v>5.1559869999999997</v>
      </c>
      <c r="I509" s="13">
        <f t="shared" si="114"/>
        <v>326.47709683999994</v>
      </c>
      <c r="J509" s="33"/>
      <c r="K509" s="34"/>
      <c r="L509" s="34"/>
      <c r="M509" s="32"/>
      <c r="N509" s="32"/>
    </row>
    <row r="510" spans="1:14" ht="75" x14ac:dyDescent="0.25">
      <c r="A510" s="164">
        <v>491</v>
      </c>
      <c r="B510" s="207"/>
      <c r="C510" s="12" t="s">
        <v>72</v>
      </c>
      <c r="D510" s="163" t="s">
        <v>73</v>
      </c>
      <c r="E510" s="112" t="s">
        <v>8</v>
      </c>
      <c r="F510" s="20">
        <f>2*1.5*1.2+0.8*2.1</f>
        <v>5.2799999999999994</v>
      </c>
      <c r="G510" s="13">
        <v>22.57</v>
      </c>
      <c r="H510" s="13">
        <f t="shared" si="113"/>
        <v>27.641479</v>
      </c>
      <c r="I510" s="13">
        <f t="shared" si="114"/>
        <v>145.94700911999999</v>
      </c>
      <c r="J510" s="33"/>
      <c r="K510" s="34"/>
      <c r="L510" s="34"/>
      <c r="M510" s="32"/>
      <c r="N510" s="32"/>
    </row>
    <row r="511" spans="1:14" ht="60" x14ac:dyDescent="0.25">
      <c r="A511" s="164">
        <v>492</v>
      </c>
      <c r="B511" s="207"/>
      <c r="C511" s="160" t="s">
        <v>74</v>
      </c>
      <c r="D511" s="163" t="s">
        <v>75</v>
      </c>
      <c r="E511" s="112" t="s">
        <v>8</v>
      </c>
      <c r="F511" s="20">
        <v>37.409999999999997</v>
      </c>
      <c r="G511" s="13">
        <v>14.14</v>
      </c>
      <c r="H511" s="13">
        <f t="shared" si="113"/>
        <v>17.317258000000002</v>
      </c>
      <c r="I511" s="13">
        <f t="shared" si="114"/>
        <v>647.83862178000004</v>
      </c>
      <c r="J511" s="33"/>
      <c r="K511" s="34"/>
      <c r="L511" s="34"/>
      <c r="M511" s="32"/>
      <c r="N511" s="32"/>
    </row>
    <row r="512" spans="1:14" ht="60" x14ac:dyDescent="0.25">
      <c r="A512" s="164">
        <v>493</v>
      </c>
      <c r="B512" s="207"/>
      <c r="C512" s="113" t="s">
        <v>76</v>
      </c>
      <c r="D512" s="42" t="s">
        <v>77</v>
      </c>
      <c r="E512" s="112" t="s">
        <v>8</v>
      </c>
      <c r="F512" s="20">
        <v>37.409999999999997</v>
      </c>
      <c r="G512" s="13">
        <v>5.28</v>
      </c>
      <c r="H512" s="13">
        <f t="shared" si="113"/>
        <v>6.4664160000000006</v>
      </c>
      <c r="I512" s="13">
        <f t="shared" si="114"/>
        <v>241.90862256</v>
      </c>
      <c r="J512" s="33"/>
      <c r="K512" s="34"/>
      <c r="L512" s="34"/>
      <c r="M512" s="32"/>
      <c r="N512" s="32"/>
    </row>
    <row r="513" spans="1:14" ht="45" x14ac:dyDescent="0.25">
      <c r="A513" s="164">
        <v>494</v>
      </c>
      <c r="B513" s="207" t="s">
        <v>126</v>
      </c>
      <c r="C513" s="12" t="s">
        <v>68</v>
      </c>
      <c r="D513" s="25" t="s">
        <v>69</v>
      </c>
      <c r="E513" s="112" t="s">
        <v>8</v>
      </c>
      <c r="F513" s="20">
        <f>24.5*2.8-F515</f>
        <v>63.319999999999993</v>
      </c>
      <c r="G513" s="13">
        <v>8.64</v>
      </c>
      <c r="H513" s="13">
        <f t="shared" si="113"/>
        <v>10.581408000000001</v>
      </c>
      <c r="I513" s="13">
        <f t="shared" si="114"/>
        <v>670.01475456000003</v>
      </c>
      <c r="J513" s="33"/>
      <c r="K513" s="34"/>
      <c r="L513" s="34"/>
      <c r="M513" s="32"/>
      <c r="N513" s="32"/>
    </row>
    <row r="514" spans="1:14" ht="60" x14ac:dyDescent="0.25">
      <c r="A514" s="164">
        <v>495</v>
      </c>
      <c r="B514" s="207"/>
      <c r="C514" s="12" t="s">
        <v>70</v>
      </c>
      <c r="D514" s="25" t="s">
        <v>71</v>
      </c>
      <c r="E514" s="112" t="s">
        <v>8</v>
      </c>
      <c r="F514" s="20">
        <f>F513</f>
        <v>63.319999999999993</v>
      </c>
      <c r="G514" s="13">
        <v>4.21</v>
      </c>
      <c r="H514" s="13">
        <f t="shared" si="113"/>
        <v>5.1559869999999997</v>
      </c>
      <c r="I514" s="13">
        <f t="shared" si="114"/>
        <v>326.47709683999994</v>
      </c>
      <c r="J514" s="33"/>
      <c r="K514" s="34"/>
      <c r="L514" s="34"/>
      <c r="M514" s="32"/>
      <c r="N514" s="32"/>
    </row>
    <row r="515" spans="1:14" ht="75" x14ac:dyDescent="0.25">
      <c r="A515" s="164">
        <v>496</v>
      </c>
      <c r="B515" s="207"/>
      <c r="C515" s="12" t="s">
        <v>72</v>
      </c>
      <c r="D515" s="163" t="s">
        <v>73</v>
      </c>
      <c r="E515" s="112" t="s">
        <v>8</v>
      </c>
      <c r="F515" s="20">
        <f>2*1.5*1.2+0.8*2.1</f>
        <v>5.2799999999999994</v>
      </c>
      <c r="G515" s="13">
        <v>22.57</v>
      </c>
      <c r="H515" s="13">
        <f t="shared" ref="H515:H546" si="115">G515+G515*B$18</f>
        <v>27.641479</v>
      </c>
      <c r="I515" s="13">
        <f t="shared" ref="I515:I546" si="116">H515*F515</f>
        <v>145.94700911999999</v>
      </c>
      <c r="J515" s="33"/>
      <c r="K515" s="34"/>
      <c r="L515" s="34"/>
      <c r="M515" s="32"/>
      <c r="N515" s="32"/>
    </row>
    <row r="516" spans="1:14" ht="60" x14ac:dyDescent="0.25">
      <c r="A516" s="164">
        <v>497</v>
      </c>
      <c r="B516" s="207"/>
      <c r="C516" s="160" t="s">
        <v>74</v>
      </c>
      <c r="D516" s="163" t="s">
        <v>75</v>
      </c>
      <c r="E516" s="112" t="s">
        <v>8</v>
      </c>
      <c r="F516" s="20">
        <v>37.409999999999997</v>
      </c>
      <c r="G516" s="13">
        <v>14.14</v>
      </c>
      <c r="H516" s="13">
        <f t="shared" si="115"/>
        <v>17.317258000000002</v>
      </c>
      <c r="I516" s="13">
        <f t="shared" si="116"/>
        <v>647.83862178000004</v>
      </c>
      <c r="J516" s="33"/>
      <c r="K516" s="34"/>
      <c r="L516" s="34"/>
      <c r="M516" s="32"/>
      <c r="N516" s="32"/>
    </row>
    <row r="517" spans="1:14" ht="60" x14ac:dyDescent="0.25">
      <c r="A517" s="164">
        <v>498</v>
      </c>
      <c r="B517" s="207"/>
      <c r="C517" s="113" t="s">
        <v>76</v>
      </c>
      <c r="D517" s="42" t="s">
        <v>77</v>
      </c>
      <c r="E517" s="112" t="s">
        <v>8</v>
      </c>
      <c r="F517" s="20">
        <v>37.409999999999997</v>
      </c>
      <c r="G517" s="13">
        <v>5.28</v>
      </c>
      <c r="H517" s="13">
        <f t="shared" si="115"/>
        <v>6.4664160000000006</v>
      </c>
      <c r="I517" s="13">
        <f t="shared" si="116"/>
        <v>241.90862256</v>
      </c>
      <c r="J517" s="33"/>
      <c r="K517" s="34"/>
      <c r="L517" s="34"/>
      <c r="M517" s="32"/>
      <c r="N517" s="32"/>
    </row>
    <row r="518" spans="1:14" ht="45" x14ac:dyDescent="0.25">
      <c r="A518" s="164">
        <v>499</v>
      </c>
      <c r="B518" s="207" t="s">
        <v>127</v>
      </c>
      <c r="C518" s="12" t="s">
        <v>68</v>
      </c>
      <c r="D518" s="25" t="s">
        <v>69</v>
      </c>
      <c r="E518" s="112" t="s">
        <v>8</v>
      </c>
      <c r="F518" s="20">
        <f>24.5*2.8-F520</f>
        <v>61.519999999999996</v>
      </c>
      <c r="G518" s="13">
        <v>8.64</v>
      </c>
      <c r="H518" s="13">
        <f t="shared" si="115"/>
        <v>10.581408000000001</v>
      </c>
      <c r="I518" s="13">
        <f t="shared" si="116"/>
        <v>650.9682201600001</v>
      </c>
      <c r="J518" s="33"/>
      <c r="K518" s="34"/>
      <c r="L518" s="34"/>
      <c r="M518" s="32"/>
      <c r="N518" s="32"/>
    </row>
    <row r="519" spans="1:14" ht="60" x14ac:dyDescent="0.25">
      <c r="A519" s="164">
        <v>500</v>
      </c>
      <c r="B519" s="207"/>
      <c r="C519" s="12" t="s">
        <v>70</v>
      </c>
      <c r="D519" s="25" t="s">
        <v>71</v>
      </c>
      <c r="E519" s="112" t="s">
        <v>8</v>
      </c>
      <c r="F519" s="20">
        <f>F518</f>
        <v>61.519999999999996</v>
      </c>
      <c r="G519" s="13">
        <v>4.21</v>
      </c>
      <c r="H519" s="13">
        <f t="shared" si="115"/>
        <v>5.1559869999999997</v>
      </c>
      <c r="I519" s="13">
        <f t="shared" si="116"/>
        <v>317.19632023999998</v>
      </c>
      <c r="J519" s="33"/>
      <c r="K519" s="34"/>
      <c r="L519" s="34"/>
      <c r="M519" s="32"/>
      <c r="N519" s="32"/>
    </row>
    <row r="520" spans="1:14" ht="75" x14ac:dyDescent="0.25">
      <c r="A520" s="164">
        <v>501</v>
      </c>
      <c r="B520" s="207"/>
      <c r="C520" s="12" t="s">
        <v>72</v>
      </c>
      <c r="D520" s="163" t="s">
        <v>73</v>
      </c>
      <c r="E520" s="112" t="s">
        <v>8</v>
      </c>
      <c r="F520" s="20">
        <f>3*1.5*1.2+0.8*2.1</f>
        <v>7.08</v>
      </c>
      <c r="G520" s="13">
        <v>22.57</v>
      </c>
      <c r="H520" s="13">
        <f t="shared" si="115"/>
        <v>27.641479</v>
      </c>
      <c r="I520" s="13">
        <f t="shared" si="116"/>
        <v>195.70167132</v>
      </c>
      <c r="J520" s="33"/>
      <c r="K520" s="34"/>
      <c r="L520" s="34"/>
      <c r="M520" s="32"/>
      <c r="N520" s="32"/>
    </row>
    <row r="521" spans="1:14" ht="60" x14ac:dyDescent="0.25">
      <c r="A521" s="164">
        <v>502</v>
      </c>
      <c r="B521" s="207"/>
      <c r="C521" s="160" t="s">
        <v>74</v>
      </c>
      <c r="D521" s="163" t="s">
        <v>75</v>
      </c>
      <c r="E521" s="112" t="s">
        <v>8</v>
      </c>
      <c r="F521" s="20">
        <v>37.409999999999997</v>
      </c>
      <c r="G521" s="13">
        <v>14.14</v>
      </c>
      <c r="H521" s="13">
        <f t="shared" si="115"/>
        <v>17.317258000000002</v>
      </c>
      <c r="I521" s="13">
        <f t="shared" si="116"/>
        <v>647.83862178000004</v>
      </c>
      <c r="J521" s="33"/>
      <c r="K521" s="34"/>
      <c r="L521" s="34"/>
      <c r="M521" s="32"/>
      <c r="N521" s="32"/>
    </row>
    <row r="522" spans="1:14" ht="60" x14ac:dyDescent="0.25">
      <c r="A522" s="164">
        <v>503</v>
      </c>
      <c r="B522" s="207"/>
      <c r="C522" s="113" t="s">
        <v>76</v>
      </c>
      <c r="D522" s="42" t="s">
        <v>77</v>
      </c>
      <c r="E522" s="112" t="s">
        <v>8</v>
      </c>
      <c r="F522" s="20">
        <v>37.409999999999997</v>
      </c>
      <c r="G522" s="13">
        <v>5.28</v>
      </c>
      <c r="H522" s="13">
        <f t="shared" si="115"/>
        <v>6.4664160000000006</v>
      </c>
      <c r="I522" s="13">
        <f t="shared" si="116"/>
        <v>241.90862256</v>
      </c>
      <c r="J522" s="33"/>
      <c r="K522" s="34"/>
      <c r="L522" s="34"/>
      <c r="M522" s="32"/>
      <c r="N522" s="32"/>
    </row>
    <row r="523" spans="1:14" ht="45" x14ac:dyDescent="0.25">
      <c r="A523" s="164">
        <v>504</v>
      </c>
      <c r="B523" s="207" t="s">
        <v>128</v>
      </c>
      <c r="C523" s="12" t="s">
        <v>68</v>
      </c>
      <c r="D523" s="25" t="s">
        <v>69</v>
      </c>
      <c r="E523" s="112" t="s">
        <v>8</v>
      </c>
      <c r="F523" s="20">
        <f>13.4*2.8-F525</f>
        <v>32.779999999999994</v>
      </c>
      <c r="G523" s="13">
        <v>8.64</v>
      </c>
      <c r="H523" s="13">
        <f t="shared" si="115"/>
        <v>10.581408000000001</v>
      </c>
      <c r="I523" s="13">
        <f t="shared" si="116"/>
        <v>346.85855423999999</v>
      </c>
      <c r="J523" s="33"/>
      <c r="K523" s="34"/>
      <c r="L523" s="34"/>
      <c r="M523" s="32"/>
      <c r="N523" s="32"/>
    </row>
    <row r="524" spans="1:14" ht="60" x14ac:dyDescent="0.25">
      <c r="A524" s="164">
        <v>505</v>
      </c>
      <c r="B524" s="207"/>
      <c r="C524" s="12" t="s">
        <v>70</v>
      </c>
      <c r="D524" s="25" t="s">
        <v>71</v>
      </c>
      <c r="E524" s="112" t="s">
        <v>8</v>
      </c>
      <c r="F524" s="20">
        <f>F523</f>
        <v>32.779999999999994</v>
      </c>
      <c r="G524" s="13">
        <v>4.21</v>
      </c>
      <c r="H524" s="13">
        <f t="shared" si="115"/>
        <v>5.1559869999999997</v>
      </c>
      <c r="I524" s="13">
        <f t="shared" si="116"/>
        <v>169.01325385999996</v>
      </c>
      <c r="J524" s="33"/>
      <c r="K524" s="34"/>
      <c r="L524" s="34"/>
      <c r="M524" s="32"/>
      <c r="N524" s="32"/>
    </row>
    <row r="525" spans="1:14" ht="75" x14ac:dyDescent="0.25">
      <c r="A525" s="164">
        <v>506</v>
      </c>
      <c r="B525" s="207"/>
      <c r="C525" s="12" t="s">
        <v>72</v>
      </c>
      <c r="D525" s="163" t="s">
        <v>73</v>
      </c>
      <c r="E525" s="112" t="s">
        <v>8</v>
      </c>
      <c r="F525" s="20">
        <f>1.5*1.2+0.8*2.1+0.6*2.1</f>
        <v>4.74</v>
      </c>
      <c r="G525" s="13">
        <v>22.57</v>
      </c>
      <c r="H525" s="13">
        <f t="shared" si="115"/>
        <v>27.641479</v>
      </c>
      <c r="I525" s="13">
        <f t="shared" si="116"/>
        <v>131.02061046</v>
      </c>
      <c r="J525" s="33"/>
      <c r="K525" s="34"/>
      <c r="L525" s="34"/>
      <c r="M525" s="32"/>
      <c r="N525" s="32"/>
    </row>
    <row r="526" spans="1:14" ht="60" x14ac:dyDescent="0.25">
      <c r="A526" s="164">
        <v>507</v>
      </c>
      <c r="B526" s="207"/>
      <c r="C526" s="160" t="s">
        <v>74</v>
      </c>
      <c r="D526" s="163" t="s">
        <v>75</v>
      </c>
      <c r="E526" s="112" t="s">
        <v>8</v>
      </c>
      <c r="F526" s="20">
        <v>11.06</v>
      </c>
      <c r="G526" s="13">
        <v>14.14</v>
      </c>
      <c r="H526" s="13">
        <f t="shared" si="115"/>
        <v>17.317258000000002</v>
      </c>
      <c r="I526" s="13">
        <f t="shared" si="116"/>
        <v>191.52887348000004</v>
      </c>
      <c r="J526" s="33"/>
      <c r="K526" s="34"/>
      <c r="L526" s="34"/>
      <c r="M526" s="32"/>
      <c r="N526" s="32"/>
    </row>
    <row r="527" spans="1:14" ht="60" x14ac:dyDescent="0.25">
      <c r="A527" s="164">
        <v>508</v>
      </c>
      <c r="B527" s="207"/>
      <c r="C527" s="113" t="s">
        <v>76</v>
      </c>
      <c r="D527" s="42" t="s">
        <v>77</v>
      </c>
      <c r="E527" s="112" t="s">
        <v>8</v>
      </c>
      <c r="F527" s="20">
        <v>11.06</v>
      </c>
      <c r="G527" s="13">
        <v>5.28</v>
      </c>
      <c r="H527" s="13">
        <f t="shared" si="115"/>
        <v>6.4664160000000006</v>
      </c>
      <c r="I527" s="13">
        <f t="shared" si="116"/>
        <v>71.518560960000016</v>
      </c>
      <c r="J527" s="33"/>
      <c r="K527" s="34"/>
      <c r="L527" s="34"/>
      <c r="M527" s="32"/>
      <c r="N527" s="32"/>
    </row>
    <row r="528" spans="1:14" ht="45" x14ac:dyDescent="0.25">
      <c r="A528" s="164">
        <v>509</v>
      </c>
      <c r="B528" s="207" t="s">
        <v>129</v>
      </c>
      <c r="C528" s="12" t="s">
        <v>68</v>
      </c>
      <c r="D528" s="25" t="s">
        <v>69</v>
      </c>
      <c r="E528" s="112" t="s">
        <v>8</v>
      </c>
      <c r="F528" s="20">
        <f>16.8*2.8-F530</f>
        <v>42.3</v>
      </c>
      <c r="G528" s="13">
        <v>8.64</v>
      </c>
      <c r="H528" s="13">
        <f t="shared" si="115"/>
        <v>10.581408000000001</v>
      </c>
      <c r="I528" s="13">
        <f t="shared" si="116"/>
        <v>447.59355840000001</v>
      </c>
      <c r="J528" s="33"/>
      <c r="K528" s="34"/>
      <c r="L528" s="34"/>
      <c r="M528" s="32"/>
      <c r="N528" s="32"/>
    </row>
    <row r="529" spans="1:14" ht="60" x14ac:dyDescent="0.25">
      <c r="A529" s="164">
        <v>510</v>
      </c>
      <c r="B529" s="207"/>
      <c r="C529" s="12" t="s">
        <v>70</v>
      </c>
      <c r="D529" s="25" t="s">
        <v>71</v>
      </c>
      <c r="E529" s="112" t="s">
        <v>8</v>
      </c>
      <c r="F529" s="20">
        <f>F528</f>
        <v>42.3</v>
      </c>
      <c r="G529" s="13">
        <v>4.21</v>
      </c>
      <c r="H529" s="13">
        <f t="shared" si="115"/>
        <v>5.1559869999999997</v>
      </c>
      <c r="I529" s="13">
        <f t="shared" si="116"/>
        <v>218.09825009999997</v>
      </c>
      <c r="J529" s="33"/>
      <c r="K529" s="34"/>
      <c r="L529" s="34"/>
      <c r="M529" s="32"/>
      <c r="N529" s="32"/>
    </row>
    <row r="530" spans="1:14" ht="75" x14ac:dyDescent="0.25">
      <c r="A530" s="164">
        <v>511</v>
      </c>
      <c r="B530" s="207"/>
      <c r="C530" s="12" t="s">
        <v>72</v>
      </c>
      <c r="D530" s="163" t="s">
        <v>73</v>
      </c>
      <c r="E530" s="112" t="s">
        <v>8</v>
      </c>
      <c r="F530" s="20">
        <f>1.5*1.2+0.8*2.1+0.6*2.1</f>
        <v>4.74</v>
      </c>
      <c r="G530" s="13">
        <v>22.57</v>
      </c>
      <c r="H530" s="13">
        <f t="shared" si="115"/>
        <v>27.641479</v>
      </c>
      <c r="I530" s="13">
        <f t="shared" si="116"/>
        <v>131.02061046</v>
      </c>
      <c r="J530" s="33"/>
      <c r="K530" s="34"/>
      <c r="L530" s="34"/>
      <c r="M530" s="32"/>
      <c r="N530" s="32"/>
    </row>
    <row r="531" spans="1:14" ht="60" x14ac:dyDescent="0.25">
      <c r="A531" s="164">
        <v>512</v>
      </c>
      <c r="B531" s="207"/>
      <c r="C531" s="160" t="s">
        <v>74</v>
      </c>
      <c r="D531" s="163" t="s">
        <v>75</v>
      </c>
      <c r="E531" s="112" t="s">
        <v>8</v>
      </c>
      <c r="F531" s="20">
        <v>15.23</v>
      </c>
      <c r="G531" s="13">
        <v>14.14</v>
      </c>
      <c r="H531" s="13">
        <f t="shared" si="115"/>
        <v>17.317258000000002</v>
      </c>
      <c r="I531" s="13">
        <f t="shared" si="116"/>
        <v>263.74183934000007</v>
      </c>
      <c r="J531" s="33"/>
      <c r="K531" s="34"/>
      <c r="L531" s="34"/>
      <c r="M531" s="32"/>
      <c r="N531" s="32"/>
    </row>
    <row r="532" spans="1:14" ht="60" x14ac:dyDescent="0.25">
      <c r="A532" s="164">
        <v>513</v>
      </c>
      <c r="B532" s="207"/>
      <c r="C532" s="113" t="s">
        <v>76</v>
      </c>
      <c r="D532" s="42" t="s">
        <v>77</v>
      </c>
      <c r="E532" s="112" t="s">
        <v>8</v>
      </c>
      <c r="F532" s="20">
        <v>15.23</v>
      </c>
      <c r="G532" s="13">
        <v>5.28</v>
      </c>
      <c r="H532" s="13">
        <f t="shared" si="115"/>
        <v>6.4664160000000006</v>
      </c>
      <c r="I532" s="13">
        <f t="shared" si="116"/>
        <v>98.483515680000011</v>
      </c>
      <c r="J532" s="33"/>
      <c r="K532" s="34"/>
      <c r="L532" s="34"/>
      <c r="M532" s="32"/>
      <c r="N532" s="32"/>
    </row>
    <row r="533" spans="1:14" ht="45" x14ac:dyDescent="0.25">
      <c r="A533" s="164">
        <v>514</v>
      </c>
      <c r="B533" s="207" t="s">
        <v>133</v>
      </c>
      <c r="C533" s="12" t="s">
        <v>68</v>
      </c>
      <c r="D533" s="25" t="s">
        <v>69</v>
      </c>
      <c r="E533" s="112" t="s">
        <v>8</v>
      </c>
      <c r="F533" s="20">
        <f>79.3*2.8-F535</f>
        <v>192.82</v>
      </c>
      <c r="G533" s="13">
        <v>8.64</v>
      </c>
      <c r="H533" s="13">
        <f t="shared" si="115"/>
        <v>10.581408000000001</v>
      </c>
      <c r="I533" s="13">
        <f t="shared" si="116"/>
        <v>2040.3070905600002</v>
      </c>
      <c r="J533" s="33"/>
      <c r="K533" s="34"/>
      <c r="L533" s="34"/>
      <c r="M533" s="32"/>
      <c r="N533" s="32"/>
    </row>
    <row r="534" spans="1:14" ht="60" x14ac:dyDescent="0.25">
      <c r="A534" s="164">
        <v>515</v>
      </c>
      <c r="B534" s="207"/>
      <c r="C534" s="12" t="s">
        <v>70</v>
      </c>
      <c r="D534" s="25" t="s">
        <v>71</v>
      </c>
      <c r="E534" s="112" t="s">
        <v>8</v>
      </c>
      <c r="F534" s="20">
        <f>F533</f>
        <v>192.82</v>
      </c>
      <c r="G534" s="13">
        <v>4.21</v>
      </c>
      <c r="H534" s="13">
        <f t="shared" si="115"/>
        <v>5.1559869999999997</v>
      </c>
      <c r="I534" s="13">
        <f t="shared" si="116"/>
        <v>994.17741333999993</v>
      </c>
      <c r="J534" s="33"/>
      <c r="K534" s="34"/>
      <c r="L534" s="34"/>
      <c r="M534" s="32"/>
      <c r="N534" s="32"/>
    </row>
    <row r="535" spans="1:14" ht="75" x14ac:dyDescent="0.25">
      <c r="A535" s="164">
        <v>516</v>
      </c>
      <c r="B535" s="207"/>
      <c r="C535" s="12" t="s">
        <v>72</v>
      </c>
      <c r="D535" s="163" t="s">
        <v>73</v>
      </c>
      <c r="E535" s="112" t="s">
        <v>8</v>
      </c>
      <c r="F535" s="20">
        <f>11*0.8*2.1+4*0.6*2.1+1*2.1+2*1*1.8</f>
        <v>29.220000000000006</v>
      </c>
      <c r="G535" s="13">
        <v>22.57</v>
      </c>
      <c r="H535" s="13">
        <f t="shared" si="115"/>
        <v>27.641479</v>
      </c>
      <c r="I535" s="13">
        <f t="shared" si="116"/>
        <v>807.68401638000023</v>
      </c>
      <c r="J535" s="33"/>
      <c r="K535" s="34"/>
      <c r="L535" s="34"/>
      <c r="M535" s="32"/>
      <c r="N535" s="32"/>
    </row>
    <row r="536" spans="1:14" ht="60" x14ac:dyDescent="0.25">
      <c r="A536" s="164">
        <v>517</v>
      </c>
      <c r="B536" s="207"/>
      <c r="C536" s="160" t="s">
        <v>74</v>
      </c>
      <c r="D536" s="163" t="s">
        <v>75</v>
      </c>
      <c r="E536" s="112" t="s">
        <v>8</v>
      </c>
      <c r="F536" s="20">
        <v>144.22</v>
      </c>
      <c r="G536" s="13">
        <v>14.14</v>
      </c>
      <c r="H536" s="13">
        <f t="shared" si="115"/>
        <v>17.317258000000002</v>
      </c>
      <c r="I536" s="13">
        <f t="shared" si="116"/>
        <v>2497.4949487600002</v>
      </c>
      <c r="J536" s="33"/>
      <c r="K536" s="34"/>
      <c r="L536" s="34"/>
      <c r="M536" s="32"/>
      <c r="N536" s="32"/>
    </row>
    <row r="537" spans="1:14" ht="60" x14ac:dyDescent="0.25">
      <c r="A537" s="164">
        <v>518</v>
      </c>
      <c r="B537" s="207"/>
      <c r="C537" s="113" t="s">
        <v>76</v>
      </c>
      <c r="D537" s="42" t="s">
        <v>77</v>
      </c>
      <c r="E537" s="112" t="s">
        <v>8</v>
      </c>
      <c r="F537" s="20">
        <v>144.22</v>
      </c>
      <c r="G537" s="13">
        <v>5.28</v>
      </c>
      <c r="H537" s="13">
        <f t="shared" si="115"/>
        <v>6.4664160000000006</v>
      </c>
      <c r="I537" s="13">
        <f t="shared" si="116"/>
        <v>932.58651552000003</v>
      </c>
      <c r="J537" s="33"/>
      <c r="K537" s="34"/>
      <c r="L537" s="34"/>
      <c r="M537" s="32"/>
      <c r="N537" s="32"/>
    </row>
    <row r="538" spans="1:14" ht="45" x14ac:dyDescent="0.25">
      <c r="A538" s="164">
        <v>519</v>
      </c>
      <c r="B538" s="207" t="s">
        <v>136</v>
      </c>
      <c r="C538" s="12" t="s">
        <v>68</v>
      </c>
      <c r="D538" s="25" t="s">
        <v>69</v>
      </c>
      <c r="E538" s="112" t="s">
        <v>8</v>
      </c>
      <c r="F538" s="20">
        <f>6*2.8-F540</f>
        <v>15.289999999999997</v>
      </c>
      <c r="G538" s="13">
        <v>8.64</v>
      </c>
      <c r="H538" s="13">
        <f t="shared" si="115"/>
        <v>10.581408000000001</v>
      </c>
      <c r="I538" s="13">
        <f t="shared" si="116"/>
        <v>161.78972831999999</v>
      </c>
      <c r="J538" s="33"/>
      <c r="K538" s="34"/>
      <c r="L538" s="34"/>
      <c r="M538" s="32"/>
      <c r="N538" s="32"/>
    </row>
    <row r="539" spans="1:14" ht="60" x14ac:dyDescent="0.25">
      <c r="A539" s="164">
        <v>520</v>
      </c>
      <c r="B539" s="207"/>
      <c r="C539" s="12" t="s">
        <v>70</v>
      </c>
      <c r="D539" s="25" t="s">
        <v>71</v>
      </c>
      <c r="E539" s="112" t="s">
        <v>8</v>
      </c>
      <c r="F539" s="20">
        <f>F538</f>
        <v>15.289999999999997</v>
      </c>
      <c r="G539" s="13">
        <v>4.21</v>
      </c>
      <c r="H539" s="13">
        <f t="shared" si="115"/>
        <v>5.1559869999999997</v>
      </c>
      <c r="I539" s="13">
        <f t="shared" si="116"/>
        <v>78.835041229999987</v>
      </c>
      <c r="J539" s="33"/>
      <c r="K539" s="34"/>
      <c r="L539" s="34"/>
      <c r="M539" s="32"/>
      <c r="N539" s="32"/>
    </row>
    <row r="540" spans="1:14" ht="75" x14ac:dyDescent="0.25">
      <c r="A540" s="164">
        <v>521</v>
      </c>
      <c r="B540" s="207"/>
      <c r="C540" s="12" t="s">
        <v>72</v>
      </c>
      <c r="D540" s="163" t="s">
        <v>73</v>
      </c>
      <c r="E540" s="112" t="s">
        <v>8</v>
      </c>
      <c r="F540" s="20">
        <f>0.5*0.5+0.6*2.1</f>
        <v>1.51</v>
      </c>
      <c r="G540" s="13">
        <v>22.57</v>
      </c>
      <c r="H540" s="13">
        <f t="shared" si="115"/>
        <v>27.641479</v>
      </c>
      <c r="I540" s="13">
        <f t="shared" si="116"/>
        <v>41.738633290000003</v>
      </c>
      <c r="J540" s="33"/>
      <c r="K540" s="34"/>
      <c r="L540" s="34"/>
      <c r="M540" s="32"/>
      <c r="N540" s="32"/>
    </row>
    <row r="541" spans="1:14" ht="60" x14ac:dyDescent="0.25">
      <c r="A541" s="164">
        <v>522</v>
      </c>
      <c r="B541" s="207"/>
      <c r="C541" s="160" t="s">
        <v>74</v>
      </c>
      <c r="D541" s="163" t="s">
        <v>75</v>
      </c>
      <c r="E541" s="112" t="s">
        <v>8</v>
      </c>
      <c r="F541" s="20">
        <v>2.25</v>
      </c>
      <c r="G541" s="13">
        <v>14.14</v>
      </c>
      <c r="H541" s="13">
        <f t="shared" si="115"/>
        <v>17.317258000000002</v>
      </c>
      <c r="I541" s="13">
        <f t="shared" si="116"/>
        <v>38.963830500000007</v>
      </c>
      <c r="J541" s="33"/>
      <c r="K541" s="34"/>
      <c r="L541" s="34"/>
      <c r="M541" s="32"/>
      <c r="N541" s="32"/>
    </row>
    <row r="542" spans="1:14" ht="60" x14ac:dyDescent="0.25">
      <c r="A542" s="164">
        <v>523</v>
      </c>
      <c r="B542" s="207"/>
      <c r="C542" s="113" t="s">
        <v>76</v>
      </c>
      <c r="D542" s="42" t="s">
        <v>77</v>
      </c>
      <c r="E542" s="112" t="s">
        <v>8</v>
      </c>
      <c r="F542" s="20">
        <v>2.25</v>
      </c>
      <c r="G542" s="13">
        <v>5.28</v>
      </c>
      <c r="H542" s="13">
        <f t="shared" si="115"/>
        <v>6.4664160000000006</v>
      </c>
      <c r="I542" s="13">
        <f t="shared" si="116"/>
        <v>14.549436000000002</v>
      </c>
      <c r="J542" s="33"/>
      <c r="K542" s="34"/>
      <c r="L542" s="34"/>
      <c r="M542" s="32"/>
      <c r="N542" s="32"/>
    </row>
    <row r="543" spans="1:14" ht="45" x14ac:dyDescent="0.25">
      <c r="A543" s="164">
        <v>524</v>
      </c>
      <c r="B543" s="207" t="s">
        <v>137</v>
      </c>
      <c r="C543" s="12" t="s">
        <v>68</v>
      </c>
      <c r="D543" s="25" t="s">
        <v>69</v>
      </c>
      <c r="E543" s="112" t="s">
        <v>8</v>
      </c>
      <c r="F543" s="20">
        <f>11.8*2.8-F545</f>
        <v>29.56</v>
      </c>
      <c r="G543" s="13">
        <v>8.64</v>
      </c>
      <c r="H543" s="13">
        <f t="shared" si="115"/>
        <v>10.581408000000001</v>
      </c>
      <c r="I543" s="13">
        <f t="shared" si="116"/>
        <v>312.78642048</v>
      </c>
      <c r="J543" s="33"/>
      <c r="K543" s="34"/>
      <c r="L543" s="34"/>
      <c r="M543" s="32"/>
      <c r="N543" s="32"/>
    </row>
    <row r="544" spans="1:14" ht="60" x14ac:dyDescent="0.25">
      <c r="A544" s="164">
        <v>525</v>
      </c>
      <c r="B544" s="207"/>
      <c r="C544" s="12" t="s">
        <v>70</v>
      </c>
      <c r="D544" s="25" t="s">
        <v>71</v>
      </c>
      <c r="E544" s="112" t="s">
        <v>8</v>
      </c>
      <c r="F544" s="20">
        <f>F543</f>
        <v>29.56</v>
      </c>
      <c r="G544" s="13">
        <v>4.21</v>
      </c>
      <c r="H544" s="13">
        <f t="shared" si="115"/>
        <v>5.1559869999999997</v>
      </c>
      <c r="I544" s="13">
        <f t="shared" si="116"/>
        <v>152.41097571999998</v>
      </c>
      <c r="J544" s="33"/>
      <c r="K544" s="34"/>
      <c r="L544" s="34"/>
      <c r="M544" s="32"/>
      <c r="N544" s="32"/>
    </row>
    <row r="545" spans="1:14" ht="75" x14ac:dyDescent="0.25">
      <c r="A545" s="164">
        <v>526</v>
      </c>
      <c r="B545" s="207"/>
      <c r="C545" s="12" t="s">
        <v>72</v>
      </c>
      <c r="D545" s="163" t="s">
        <v>73</v>
      </c>
      <c r="E545" s="112" t="s">
        <v>8</v>
      </c>
      <c r="F545" s="20">
        <f>1.5*1.2+0.8*2.1</f>
        <v>3.48</v>
      </c>
      <c r="G545" s="13">
        <v>22.57</v>
      </c>
      <c r="H545" s="13">
        <f t="shared" si="115"/>
        <v>27.641479</v>
      </c>
      <c r="I545" s="13">
        <f t="shared" si="116"/>
        <v>96.192346920000006</v>
      </c>
      <c r="J545" s="33"/>
      <c r="K545" s="34"/>
      <c r="L545" s="34"/>
      <c r="M545" s="32"/>
      <c r="N545" s="32"/>
    </row>
    <row r="546" spans="1:14" ht="60" x14ac:dyDescent="0.25">
      <c r="A546" s="164">
        <v>527</v>
      </c>
      <c r="B546" s="207"/>
      <c r="C546" s="160" t="s">
        <v>74</v>
      </c>
      <c r="D546" s="163" t="s">
        <v>75</v>
      </c>
      <c r="E546" s="112" t="s">
        <v>8</v>
      </c>
      <c r="F546" s="20">
        <v>8.6999999999999993</v>
      </c>
      <c r="G546" s="13">
        <v>14.14</v>
      </c>
      <c r="H546" s="13">
        <f t="shared" si="115"/>
        <v>17.317258000000002</v>
      </c>
      <c r="I546" s="13">
        <f t="shared" si="116"/>
        <v>150.6601446</v>
      </c>
      <c r="J546" s="33"/>
      <c r="K546" s="34"/>
      <c r="L546" s="34"/>
      <c r="M546" s="32"/>
      <c r="N546" s="32"/>
    </row>
    <row r="547" spans="1:14" ht="60" x14ac:dyDescent="0.25">
      <c r="A547" s="164">
        <v>528</v>
      </c>
      <c r="B547" s="207"/>
      <c r="C547" s="113" t="s">
        <v>76</v>
      </c>
      <c r="D547" s="42" t="s">
        <v>77</v>
      </c>
      <c r="E547" s="112" t="s">
        <v>8</v>
      </c>
      <c r="F547" s="20">
        <v>8.6999999999999993</v>
      </c>
      <c r="G547" s="13">
        <v>5.28</v>
      </c>
      <c r="H547" s="13">
        <f t="shared" ref="H547:H568" si="117">G547+G547*B$18</f>
        <v>6.4664160000000006</v>
      </c>
      <c r="I547" s="13">
        <f t="shared" ref="I547:I568" si="118">H547*F547</f>
        <v>56.2578192</v>
      </c>
      <c r="J547" s="33"/>
      <c r="K547" s="34"/>
      <c r="L547" s="34"/>
      <c r="M547" s="32"/>
      <c r="N547" s="32"/>
    </row>
    <row r="548" spans="1:14" ht="75" x14ac:dyDescent="0.25">
      <c r="A548" s="164">
        <v>529</v>
      </c>
      <c r="B548" s="207" t="s">
        <v>119</v>
      </c>
      <c r="C548" s="12" t="s">
        <v>72</v>
      </c>
      <c r="D548" s="163" t="s">
        <v>73</v>
      </c>
      <c r="E548" s="112" t="s">
        <v>8</v>
      </c>
      <c r="F548" s="20">
        <f>0.5*0.5+1*2.1</f>
        <v>2.35</v>
      </c>
      <c r="G548" s="13">
        <v>22.57</v>
      </c>
      <c r="H548" s="13">
        <f t="shared" si="117"/>
        <v>27.641479</v>
      </c>
      <c r="I548" s="13">
        <f t="shared" si="118"/>
        <v>64.957475650000006</v>
      </c>
      <c r="J548" s="33"/>
      <c r="K548" s="34"/>
      <c r="L548" s="34"/>
      <c r="M548" s="32"/>
      <c r="N548" s="32"/>
    </row>
    <row r="549" spans="1:14" ht="60" x14ac:dyDescent="0.25">
      <c r="A549" s="164">
        <v>530</v>
      </c>
      <c r="B549" s="207"/>
      <c r="C549" s="160" t="s">
        <v>74</v>
      </c>
      <c r="D549" s="163" t="s">
        <v>75</v>
      </c>
      <c r="E549" s="112" t="s">
        <v>8</v>
      </c>
      <c r="F549" s="20">
        <v>6.81</v>
      </c>
      <c r="G549" s="13">
        <v>14.14</v>
      </c>
      <c r="H549" s="13">
        <f t="shared" si="117"/>
        <v>17.317258000000002</v>
      </c>
      <c r="I549" s="13">
        <f t="shared" si="118"/>
        <v>117.93052698000001</v>
      </c>
      <c r="J549" s="33"/>
      <c r="K549" s="34"/>
      <c r="L549" s="34"/>
      <c r="M549" s="32"/>
      <c r="N549" s="32"/>
    </row>
    <row r="550" spans="1:14" ht="60" x14ac:dyDescent="0.25">
      <c r="A550" s="164">
        <v>531</v>
      </c>
      <c r="B550" s="207"/>
      <c r="C550" s="113" t="s">
        <v>76</v>
      </c>
      <c r="D550" s="42" t="s">
        <v>77</v>
      </c>
      <c r="E550" s="112" t="s">
        <v>8</v>
      </c>
      <c r="F550" s="20">
        <v>6.81</v>
      </c>
      <c r="G550" s="13">
        <v>5.28</v>
      </c>
      <c r="H550" s="13">
        <f t="shared" si="117"/>
        <v>6.4664160000000006</v>
      </c>
      <c r="I550" s="13">
        <f t="shared" si="118"/>
        <v>44.036292960000004</v>
      </c>
      <c r="J550" s="33"/>
      <c r="K550" s="34"/>
      <c r="L550" s="34"/>
      <c r="M550" s="32"/>
      <c r="N550" s="32"/>
    </row>
    <row r="551" spans="1:14" ht="75" x14ac:dyDescent="0.25">
      <c r="A551" s="164">
        <v>532</v>
      </c>
      <c r="B551" s="207" t="s">
        <v>120</v>
      </c>
      <c r="C551" s="12" t="s">
        <v>72</v>
      </c>
      <c r="D551" s="163" t="s">
        <v>73</v>
      </c>
      <c r="E551" s="112" t="s">
        <v>8</v>
      </c>
      <c r="F551" s="20">
        <f>0.5*0.5+0.6*2.1</f>
        <v>1.51</v>
      </c>
      <c r="G551" s="13">
        <v>22.57</v>
      </c>
      <c r="H551" s="13">
        <f t="shared" si="117"/>
        <v>27.641479</v>
      </c>
      <c r="I551" s="13">
        <f t="shared" si="118"/>
        <v>41.738633290000003</v>
      </c>
      <c r="J551" s="33"/>
      <c r="K551" s="34"/>
      <c r="L551" s="34"/>
      <c r="M551" s="32"/>
      <c r="N551" s="32"/>
    </row>
    <row r="552" spans="1:14" ht="60" x14ac:dyDescent="0.25">
      <c r="A552" s="164">
        <v>533</v>
      </c>
      <c r="B552" s="207"/>
      <c r="C552" s="160" t="s">
        <v>74</v>
      </c>
      <c r="D552" s="163" t="s">
        <v>75</v>
      </c>
      <c r="E552" s="112" t="s">
        <v>8</v>
      </c>
      <c r="F552" s="20">
        <v>6.81</v>
      </c>
      <c r="G552" s="13">
        <v>14.14</v>
      </c>
      <c r="H552" s="13">
        <f t="shared" si="117"/>
        <v>17.317258000000002</v>
      </c>
      <c r="I552" s="13">
        <f t="shared" si="118"/>
        <v>117.93052698000001</v>
      </c>
      <c r="J552" s="33"/>
      <c r="K552" s="34"/>
      <c r="L552" s="34"/>
      <c r="M552" s="32"/>
      <c r="N552" s="32"/>
    </row>
    <row r="553" spans="1:14" ht="60" x14ac:dyDescent="0.25">
      <c r="A553" s="164">
        <v>534</v>
      </c>
      <c r="B553" s="207"/>
      <c r="C553" s="113" t="s">
        <v>76</v>
      </c>
      <c r="D553" s="42" t="s">
        <v>77</v>
      </c>
      <c r="E553" s="112" t="s">
        <v>8</v>
      </c>
      <c r="F553" s="20">
        <v>6.81</v>
      </c>
      <c r="G553" s="13">
        <v>5.28</v>
      </c>
      <c r="H553" s="13">
        <f t="shared" si="117"/>
        <v>6.4664160000000006</v>
      </c>
      <c r="I553" s="13">
        <f t="shared" si="118"/>
        <v>44.036292960000004</v>
      </c>
      <c r="J553" s="33"/>
      <c r="K553" s="34"/>
      <c r="L553" s="34"/>
      <c r="M553" s="32"/>
      <c r="N553" s="32"/>
    </row>
    <row r="554" spans="1:14" ht="75" x14ac:dyDescent="0.25">
      <c r="A554" s="164">
        <v>535</v>
      </c>
      <c r="B554" s="207" t="s">
        <v>122</v>
      </c>
      <c r="C554" s="12" t="s">
        <v>72</v>
      </c>
      <c r="D554" s="163" t="s">
        <v>73</v>
      </c>
      <c r="E554" s="112" t="s">
        <v>8</v>
      </c>
      <c r="F554" s="20">
        <f>0.5*0.5+0.6*2.1</f>
        <v>1.51</v>
      </c>
      <c r="G554" s="13">
        <v>22.57</v>
      </c>
      <c r="H554" s="13">
        <f t="shared" si="117"/>
        <v>27.641479</v>
      </c>
      <c r="I554" s="13">
        <f t="shared" si="118"/>
        <v>41.738633290000003</v>
      </c>
      <c r="J554" s="33"/>
      <c r="K554" s="34"/>
      <c r="L554" s="34"/>
      <c r="M554" s="32"/>
      <c r="N554" s="32"/>
    </row>
    <row r="555" spans="1:14" ht="60" x14ac:dyDescent="0.25">
      <c r="A555" s="164">
        <v>536</v>
      </c>
      <c r="B555" s="207"/>
      <c r="C555" s="160" t="s">
        <v>74</v>
      </c>
      <c r="D555" s="163" t="s">
        <v>75</v>
      </c>
      <c r="E555" s="112" t="s">
        <v>8</v>
      </c>
      <c r="F555" s="20">
        <v>2.59</v>
      </c>
      <c r="G555" s="13">
        <v>14.14</v>
      </c>
      <c r="H555" s="13">
        <f t="shared" si="117"/>
        <v>17.317258000000002</v>
      </c>
      <c r="I555" s="13">
        <f t="shared" si="118"/>
        <v>44.851698220000003</v>
      </c>
      <c r="J555" s="33"/>
      <c r="K555" s="34"/>
      <c r="L555" s="34"/>
      <c r="M555" s="32"/>
      <c r="N555" s="32"/>
    </row>
    <row r="556" spans="1:14" ht="60" x14ac:dyDescent="0.25">
      <c r="A556" s="164">
        <v>537</v>
      </c>
      <c r="B556" s="207"/>
      <c r="C556" s="113" t="s">
        <v>76</v>
      </c>
      <c r="D556" s="42" t="s">
        <v>77</v>
      </c>
      <c r="E556" s="112" t="s">
        <v>8</v>
      </c>
      <c r="F556" s="20">
        <v>2.59</v>
      </c>
      <c r="G556" s="13">
        <v>5.28</v>
      </c>
      <c r="H556" s="13">
        <f t="shared" si="117"/>
        <v>6.4664160000000006</v>
      </c>
      <c r="I556" s="13">
        <f t="shared" si="118"/>
        <v>16.748017440000002</v>
      </c>
      <c r="J556" s="33"/>
      <c r="K556" s="34"/>
      <c r="L556" s="34"/>
      <c r="M556" s="32"/>
      <c r="N556" s="32"/>
    </row>
    <row r="557" spans="1:14" ht="75" x14ac:dyDescent="0.25">
      <c r="A557" s="164">
        <v>538</v>
      </c>
      <c r="B557" s="207" t="s">
        <v>134</v>
      </c>
      <c r="C557" s="12" t="s">
        <v>72</v>
      </c>
      <c r="D557" s="163" t="s">
        <v>73</v>
      </c>
      <c r="E557" s="112" t="s">
        <v>8</v>
      </c>
      <c r="F557" s="20">
        <f>0.5*0.5+0.6*2.1</f>
        <v>1.51</v>
      </c>
      <c r="G557" s="13">
        <v>22.57</v>
      </c>
      <c r="H557" s="13">
        <f t="shared" si="117"/>
        <v>27.641479</v>
      </c>
      <c r="I557" s="13">
        <f t="shared" si="118"/>
        <v>41.738633290000003</v>
      </c>
      <c r="J557" s="33"/>
      <c r="K557" s="34"/>
      <c r="L557" s="34"/>
      <c r="M557" s="32"/>
      <c r="N557" s="32"/>
    </row>
    <row r="558" spans="1:14" ht="60" x14ac:dyDescent="0.25">
      <c r="A558" s="164">
        <v>539</v>
      </c>
      <c r="B558" s="207"/>
      <c r="C558" s="160" t="s">
        <v>74</v>
      </c>
      <c r="D558" s="163" t="s">
        <v>75</v>
      </c>
      <c r="E558" s="112" t="s">
        <v>8</v>
      </c>
      <c r="F558" s="20">
        <v>2.59</v>
      </c>
      <c r="G558" s="13">
        <v>14.14</v>
      </c>
      <c r="H558" s="13">
        <f t="shared" si="117"/>
        <v>17.317258000000002</v>
      </c>
      <c r="I558" s="13">
        <f t="shared" si="118"/>
        <v>44.851698220000003</v>
      </c>
      <c r="J558" s="33"/>
      <c r="K558" s="34"/>
      <c r="L558" s="34"/>
      <c r="M558" s="32"/>
      <c r="N558" s="32"/>
    </row>
    <row r="559" spans="1:14" ht="60" x14ac:dyDescent="0.25">
      <c r="A559" s="164">
        <v>540</v>
      </c>
      <c r="B559" s="207"/>
      <c r="C559" s="113" t="s">
        <v>76</v>
      </c>
      <c r="D559" s="42" t="s">
        <v>77</v>
      </c>
      <c r="E559" s="112" t="s">
        <v>8</v>
      </c>
      <c r="F559" s="20">
        <v>2.59</v>
      </c>
      <c r="G559" s="13">
        <v>5.28</v>
      </c>
      <c r="H559" s="13">
        <f t="shared" si="117"/>
        <v>6.4664160000000006</v>
      </c>
      <c r="I559" s="13">
        <f t="shared" si="118"/>
        <v>16.748017440000002</v>
      </c>
      <c r="J559" s="33"/>
      <c r="K559" s="34"/>
      <c r="L559" s="34"/>
      <c r="M559" s="32"/>
      <c r="N559" s="32"/>
    </row>
    <row r="560" spans="1:14" ht="75" x14ac:dyDescent="0.25">
      <c r="A560" s="164">
        <v>541</v>
      </c>
      <c r="B560" s="207" t="s">
        <v>138</v>
      </c>
      <c r="C560" s="12" t="s">
        <v>72</v>
      </c>
      <c r="D560" s="163" t="s">
        <v>73</v>
      </c>
      <c r="E560" s="112" t="s">
        <v>8</v>
      </c>
      <c r="F560" s="20">
        <f>0.6*2.1</f>
        <v>1.26</v>
      </c>
      <c r="G560" s="13">
        <v>22.57</v>
      </c>
      <c r="H560" s="13">
        <f t="shared" si="117"/>
        <v>27.641479</v>
      </c>
      <c r="I560" s="13">
        <f t="shared" si="118"/>
        <v>34.828263540000002</v>
      </c>
      <c r="J560" s="33"/>
      <c r="K560" s="34"/>
      <c r="L560" s="34"/>
      <c r="M560" s="32"/>
      <c r="N560" s="32"/>
    </row>
    <row r="561" spans="1:14" ht="60" x14ac:dyDescent="0.25">
      <c r="A561" s="164">
        <v>542</v>
      </c>
      <c r="B561" s="207"/>
      <c r="C561" s="160" t="s">
        <v>74</v>
      </c>
      <c r="D561" s="163" t="s">
        <v>75</v>
      </c>
      <c r="E561" s="112" t="s">
        <v>8</v>
      </c>
      <c r="F561" s="20">
        <v>8.5</v>
      </c>
      <c r="G561" s="13">
        <v>14.14</v>
      </c>
      <c r="H561" s="13">
        <f t="shared" si="117"/>
        <v>17.317258000000002</v>
      </c>
      <c r="I561" s="13">
        <f t="shared" si="118"/>
        <v>147.19669300000001</v>
      </c>
      <c r="J561" s="33"/>
      <c r="K561" s="34"/>
      <c r="L561" s="34"/>
      <c r="M561" s="32"/>
      <c r="N561" s="32"/>
    </row>
    <row r="562" spans="1:14" ht="60" x14ac:dyDescent="0.25">
      <c r="A562" s="164">
        <v>543</v>
      </c>
      <c r="B562" s="207"/>
      <c r="C562" s="113" t="s">
        <v>76</v>
      </c>
      <c r="D562" s="42" t="s">
        <v>77</v>
      </c>
      <c r="E562" s="112" t="s">
        <v>8</v>
      </c>
      <c r="F562" s="20">
        <v>8.5</v>
      </c>
      <c r="G562" s="13">
        <v>5.28</v>
      </c>
      <c r="H562" s="13">
        <f t="shared" si="117"/>
        <v>6.4664160000000006</v>
      </c>
      <c r="I562" s="13">
        <f t="shared" si="118"/>
        <v>54.964536000000003</v>
      </c>
      <c r="J562" s="33"/>
      <c r="K562" s="34"/>
      <c r="L562" s="34"/>
      <c r="M562" s="32"/>
      <c r="N562" s="32"/>
    </row>
    <row r="563" spans="1:14" ht="75" x14ac:dyDescent="0.25">
      <c r="A563" s="164">
        <v>544</v>
      </c>
      <c r="B563" s="207" t="s">
        <v>139</v>
      </c>
      <c r="C563" s="12" t="s">
        <v>72</v>
      </c>
      <c r="D563" s="163" t="s">
        <v>73</v>
      </c>
      <c r="E563" s="112" t="s">
        <v>8</v>
      </c>
      <c r="F563" s="20">
        <f>0.6*2.1+0.5*0.5</f>
        <v>1.51</v>
      </c>
      <c r="G563" s="13">
        <v>22.57</v>
      </c>
      <c r="H563" s="13">
        <f t="shared" si="117"/>
        <v>27.641479</v>
      </c>
      <c r="I563" s="13">
        <f t="shared" si="118"/>
        <v>41.738633290000003</v>
      </c>
      <c r="J563" s="33"/>
      <c r="K563" s="34"/>
      <c r="L563" s="34"/>
      <c r="M563" s="32"/>
      <c r="N563" s="32"/>
    </row>
    <row r="564" spans="1:14" ht="60" x14ac:dyDescent="0.25">
      <c r="A564" s="164">
        <v>545</v>
      </c>
      <c r="B564" s="207"/>
      <c r="C564" s="160" t="s">
        <v>74</v>
      </c>
      <c r="D564" s="163" t="s">
        <v>75</v>
      </c>
      <c r="E564" s="112" t="s">
        <v>8</v>
      </c>
      <c r="F564" s="20">
        <v>6.66</v>
      </c>
      <c r="G564" s="13">
        <v>14.14</v>
      </c>
      <c r="H564" s="13">
        <f t="shared" si="117"/>
        <v>17.317258000000002</v>
      </c>
      <c r="I564" s="13">
        <f t="shared" si="118"/>
        <v>115.33293828000002</v>
      </c>
      <c r="J564" s="33"/>
      <c r="K564" s="34"/>
      <c r="L564" s="34"/>
      <c r="M564" s="32"/>
      <c r="N564" s="32"/>
    </row>
    <row r="565" spans="1:14" ht="60" x14ac:dyDescent="0.25">
      <c r="A565" s="164">
        <v>546</v>
      </c>
      <c r="B565" s="207"/>
      <c r="C565" s="113" t="s">
        <v>76</v>
      </c>
      <c r="D565" s="42" t="s">
        <v>77</v>
      </c>
      <c r="E565" s="112" t="s">
        <v>8</v>
      </c>
      <c r="F565" s="20">
        <v>6.66</v>
      </c>
      <c r="G565" s="13">
        <v>5.28</v>
      </c>
      <c r="H565" s="13">
        <f t="shared" si="117"/>
        <v>6.4664160000000006</v>
      </c>
      <c r="I565" s="13">
        <f t="shared" si="118"/>
        <v>43.066330560000004</v>
      </c>
      <c r="J565" s="33"/>
      <c r="K565" s="34"/>
      <c r="L565" s="34"/>
      <c r="M565" s="32"/>
      <c r="N565" s="32"/>
    </row>
    <row r="566" spans="1:14" ht="75" x14ac:dyDescent="0.25">
      <c r="A566" s="164">
        <v>547</v>
      </c>
      <c r="B566" s="207" t="s">
        <v>123</v>
      </c>
      <c r="C566" s="12" t="s">
        <v>72</v>
      </c>
      <c r="D566" s="163" t="s">
        <v>73</v>
      </c>
      <c r="E566" s="112" t="s">
        <v>8</v>
      </c>
      <c r="F566" s="20">
        <f>0.8*2.1+1.5*1.2</f>
        <v>3.48</v>
      </c>
      <c r="G566" s="13">
        <v>22.57</v>
      </c>
      <c r="H566" s="13">
        <f t="shared" si="117"/>
        <v>27.641479</v>
      </c>
      <c r="I566" s="13">
        <f t="shared" si="118"/>
        <v>96.192346920000006</v>
      </c>
      <c r="J566" s="33"/>
      <c r="K566" s="34"/>
      <c r="L566" s="34"/>
      <c r="M566" s="32"/>
      <c r="N566" s="32"/>
    </row>
    <row r="567" spans="1:14" ht="60" x14ac:dyDescent="0.25">
      <c r="A567" s="164">
        <v>548</v>
      </c>
      <c r="B567" s="207"/>
      <c r="C567" s="160" t="s">
        <v>74</v>
      </c>
      <c r="D567" s="163" t="s">
        <v>75</v>
      </c>
      <c r="E567" s="112" t="s">
        <v>8</v>
      </c>
      <c r="F567" s="20">
        <v>15.03</v>
      </c>
      <c r="G567" s="13">
        <v>14.14</v>
      </c>
      <c r="H567" s="13">
        <f t="shared" si="117"/>
        <v>17.317258000000002</v>
      </c>
      <c r="I567" s="13">
        <f t="shared" si="118"/>
        <v>260.27838774000003</v>
      </c>
      <c r="J567" s="33"/>
      <c r="K567" s="34"/>
      <c r="L567" s="34"/>
      <c r="M567" s="32"/>
      <c r="N567" s="32"/>
    </row>
    <row r="568" spans="1:14" ht="60" x14ac:dyDescent="0.25">
      <c r="A568" s="164">
        <v>549</v>
      </c>
      <c r="B568" s="207"/>
      <c r="C568" s="113" t="s">
        <v>76</v>
      </c>
      <c r="D568" s="42" t="s">
        <v>77</v>
      </c>
      <c r="E568" s="112" t="s">
        <v>8</v>
      </c>
      <c r="F568" s="20">
        <v>15.03</v>
      </c>
      <c r="G568" s="13">
        <v>5.28</v>
      </c>
      <c r="H568" s="13">
        <f t="shared" si="117"/>
        <v>6.4664160000000006</v>
      </c>
      <c r="I568" s="13">
        <f t="shared" si="118"/>
        <v>97.190232480000006</v>
      </c>
      <c r="J568" s="33"/>
      <c r="K568" s="34"/>
      <c r="L568" s="34"/>
      <c r="M568" s="32"/>
      <c r="N568" s="32"/>
    </row>
    <row r="569" spans="1:14" ht="45" x14ac:dyDescent="0.25">
      <c r="A569" s="164">
        <v>550</v>
      </c>
      <c r="B569" s="207" t="s">
        <v>125</v>
      </c>
      <c r="C569" s="12" t="s">
        <v>68</v>
      </c>
      <c r="D569" s="25" t="s">
        <v>69</v>
      </c>
      <c r="E569" s="112" t="s">
        <v>8</v>
      </c>
      <c r="F569" s="20">
        <f>25.15*4.8+8.95*(4.8+3.4)/2+1.95*3.4+12.65*4.4+23.2*3.5+5.95*(4.8+3.7)/2+9.95*(3.7+5.1)/2+6*(5.1+3.5)/2</f>
        <v>395.77249999999998</v>
      </c>
      <c r="G569" s="13">
        <v>8.64</v>
      </c>
      <c r="H569" s="13">
        <f t="shared" ref="H569:H573" si="119">G569+G569*B$18</f>
        <v>10.581408000000001</v>
      </c>
      <c r="I569" s="13">
        <f t="shared" ref="I569:I573" si="120">H569*F569</f>
        <v>4187.8302976800005</v>
      </c>
      <c r="J569" s="33"/>
      <c r="K569" s="34"/>
      <c r="L569" s="34"/>
      <c r="M569" s="32"/>
      <c r="N569" s="32"/>
    </row>
    <row r="570" spans="1:14" ht="60" x14ac:dyDescent="0.25">
      <c r="A570" s="164">
        <v>551</v>
      </c>
      <c r="B570" s="207"/>
      <c r="C570" s="12" t="s">
        <v>70</v>
      </c>
      <c r="D570" s="25" t="s">
        <v>71</v>
      </c>
      <c r="E570" s="112" t="s">
        <v>8</v>
      </c>
      <c r="F570" s="20">
        <f>F569</f>
        <v>395.77249999999998</v>
      </c>
      <c r="G570" s="13">
        <v>4.21</v>
      </c>
      <c r="H570" s="13">
        <f t="shared" si="119"/>
        <v>5.1559869999999997</v>
      </c>
      <c r="I570" s="13">
        <f t="shared" si="120"/>
        <v>2040.5978649574997</v>
      </c>
      <c r="J570" s="33"/>
      <c r="K570" s="34"/>
      <c r="L570" s="34"/>
      <c r="M570" s="32"/>
      <c r="N570" s="32"/>
    </row>
    <row r="571" spans="1:14" ht="45" x14ac:dyDescent="0.25">
      <c r="A571" s="164">
        <v>552</v>
      </c>
      <c r="B571" s="207" t="s">
        <v>124</v>
      </c>
      <c r="C571" s="12" t="s">
        <v>68</v>
      </c>
      <c r="D571" s="25" t="s">
        <v>69</v>
      </c>
      <c r="E571" s="112" t="s">
        <v>8</v>
      </c>
      <c r="F571" s="20">
        <f>185*2.2</f>
        <v>407.00000000000006</v>
      </c>
      <c r="G571" s="13">
        <v>8.64</v>
      </c>
      <c r="H571" s="13">
        <f t="shared" si="119"/>
        <v>10.581408000000001</v>
      </c>
      <c r="I571" s="13">
        <f t="shared" si="120"/>
        <v>4306.6330560000015</v>
      </c>
      <c r="J571" s="33"/>
      <c r="K571" s="34"/>
      <c r="L571" s="34"/>
      <c r="M571" s="32"/>
      <c r="N571" s="32"/>
    </row>
    <row r="572" spans="1:14" ht="60" x14ac:dyDescent="0.25">
      <c r="A572" s="164">
        <v>553</v>
      </c>
      <c r="B572" s="207"/>
      <c r="C572" s="12" t="s">
        <v>70</v>
      </c>
      <c r="D572" s="25" t="s">
        <v>71</v>
      </c>
      <c r="E572" s="112" t="s">
        <v>8</v>
      </c>
      <c r="F572" s="20">
        <f>F571</f>
        <v>407.00000000000006</v>
      </c>
      <c r="G572" s="13">
        <v>4.21</v>
      </c>
      <c r="H572" s="13">
        <f t="shared" si="119"/>
        <v>5.1559869999999997</v>
      </c>
      <c r="I572" s="13">
        <f t="shared" si="120"/>
        <v>2098.4867090000002</v>
      </c>
      <c r="J572" s="33"/>
      <c r="K572" s="34"/>
      <c r="L572" s="34"/>
      <c r="M572" s="32"/>
      <c r="N572" s="32"/>
    </row>
    <row r="573" spans="1:14" ht="75" x14ac:dyDescent="0.25">
      <c r="A573" s="164">
        <v>554</v>
      </c>
      <c r="B573" s="207"/>
      <c r="C573" s="12" t="s">
        <v>72</v>
      </c>
      <c r="D573" s="163" t="s">
        <v>73</v>
      </c>
      <c r="E573" s="112" t="s">
        <v>8</v>
      </c>
      <c r="F573" s="20">
        <f>3*2.2</f>
        <v>6.6000000000000005</v>
      </c>
      <c r="G573" s="13">
        <v>22.57</v>
      </c>
      <c r="H573" s="13">
        <f t="shared" si="119"/>
        <v>27.641479</v>
      </c>
      <c r="I573" s="13">
        <f t="shared" si="120"/>
        <v>182.43376140000001</v>
      </c>
      <c r="J573" s="33"/>
      <c r="K573" s="34"/>
      <c r="L573" s="34"/>
      <c r="M573" s="32"/>
      <c r="N573" s="32"/>
    </row>
    <row r="574" spans="1:14" ht="30" customHeight="1" x14ac:dyDescent="0.25">
      <c r="A574" s="28"/>
      <c r="B574" s="155"/>
      <c r="C574" s="31"/>
      <c r="D574" s="17"/>
      <c r="E574" s="3"/>
      <c r="F574" s="29"/>
      <c r="G574" s="9"/>
      <c r="H574" s="5" t="s">
        <v>28</v>
      </c>
      <c r="I574" s="30">
        <f>SUM(I479,I405,I330,I274,I20)</f>
        <v>419558.17867545469</v>
      </c>
      <c r="J574" s="41"/>
      <c r="K574" s="94"/>
      <c r="L574" s="34"/>
      <c r="M574" s="32"/>
      <c r="N574" s="32"/>
    </row>
    <row r="575" spans="1:14" x14ac:dyDescent="0.25">
      <c r="A575" s="133"/>
      <c r="B575" s="49"/>
      <c r="C575" s="50"/>
      <c r="D575" s="51"/>
      <c r="E575" s="52"/>
      <c r="F575" s="53"/>
      <c r="G575" s="54"/>
      <c r="H575" s="55"/>
      <c r="I575" s="56"/>
      <c r="J575" s="35"/>
      <c r="K575" s="34"/>
      <c r="L575" s="34"/>
      <c r="M575" s="32"/>
      <c r="N575" s="32"/>
    </row>
    <row r="576" spans="1:14" x14ac:dyDescent="0.25">
      <c r="A576" s="134"/>
      <c r="B576" s="156" t="s">
        <v>36</v>
      </c>
      <c r="C576" s="44" t="s">
        <v>37</v>
      </c>
      <c r="D576" s="58"/>
      <c r="E576" s="193" t="s">
        <v>38</v>
      </c>
      <c r="F576" s="193"/>
      <c r="G576" s="193"/>
      <c r="H576" s="193"/>
      <c r="I576" s="59"/>
      <c r="M576" s="32"/>
      <c r="N576" s="32"/>
    </row>
    <row r="577" spans="1:14" x14ac:dyDescent="0.25">
      <c r="A577" s="134"/>
      <c r="B577" s="63" t="s">
        <v>39</v>
      </c>
      <c r="C577" s="44" t="s">
        <v>40</v>
      </c>
      <c r="D577" s="58"/>
      <c r="E577" s="46" t="s">
        <v>41</v>
      </c>
      <c r="F577" s="192" t="s">
        <v>42</v>
      </c>
      <c r="G577" s="192"/>
      <c r="H577" s="192"/>
      <c r="I577" s="61"/>
      <c r="M577" s="32"/>
      <c r="N577" s="32"/>
    </row>
    <row r="578" spans="1:14" x14ac:dyDescent="0.25">
      <c r="A578" s="62"/>
      <c r="B578" s="63"/>
      <c r="C578" s="63"/>
      <c r="D578" s="58"/>
      <c r="E578" s="46" t="s">
        <v>43</v>
      </c>
      <c r="F578" s="192" t="s">
        <v>44</v>
      </c>
      <c r="G578" s="192"/>
      <c r="H578" s="192"/>
      <c r="I578" s="61"/>
      <c r="M578" s="32"/>
      <c r="N578" s="32"/>
    </row>
    <row r="579" spans="1:14" x14ac:dyDescent="0.25">
      <c r="A579" s="134"/>
      <c r="B579" s="64"/>
      <c r="C579" s="65"/>
      <c r="D579" s="58"/>
      <c r="E579" s="66"/>
      <c r="F579" s="67"/>
      <c r="G579" s="68"/>
      <c r="H579" s="69"/>
      <c r="I579" s="70"/>
      <c r="M579" s="32"/>
      <c r="N579" s="32"/>
    </row>
    <row r="580" spans="1:14" x14ac:dyDescent="0.25">
      <c r="A580" s="134"/>
      <c r="B580" s="64"/>
      <c r="C580" s="65"/>
      <c r="D580" s="58"/>
      <c r="E580" s="66"/>
      <c r="F580" s="67"/>
      <c r="G580" s="68"/>
      <c r="H580" s="69"/>
      <c r="I580" s="70"/>
      <c r="M580" s="32"/>
      <c r="N580" s="32"/>
    </row>
    <row r="581" spans="1:14" x14ac:dyDescent="0.25">
      <c r="A581" s="135"/>
      <c r="B581" s="72"/>
      <c r="C581" s="73"/>
      <c r="D581" s="74"/>
      <c r="E581" s="75"/>
      <c r="F581" s="76"/>
      <c r="G581" s="77"/>
      <c r="H581" s="78"/>
      <c r="I581" s="79"/>
    </row>
  </sheetData>
  <mergeCells count="134">
    <mergeCell ref="B308:B310"/>
    <mergeCell ref="B165:B169"/>
    <mergeCell ref="B170:B174"/>
    <mergeCell ref="B175:B179"/>
    <mergeCell ref="B180:B184"/>
    <mergeCell ref="B185:B189"/>
    <mergeCell ref="B190:B194"/>
    <mergeCell ref="B195:B199"/>
    <mergeCell ref="B200:B202"/>
    <mergeCell ref="B203:B207"/>
    <mergeCell ref="B208:B210"/>
    <mergeCell ref="B211:B213"/>
    <mergeCell ref="B214:B218"/>
    <mergeCell ref="B219:B223"/>
    <mergeCell ref="B224:B226"/>
    <mergeCell ref="B227:B229"/>
    <mergeCell ref="B230:B232"/>
    <mergeCell ref="B233:B235"/>
    <mergeCell ref="B236:B238"/>
    <mergeCell ref="B239:B243"/>
    <mergeCell ref="B244:B248"/>
    <mergeCell ref="B293:B297"/>
    <mergeCell ref="B298:B302"/>
    <mergeCell ref="B303:B307"/>
    <mergeCell ref="F577:H577"/>
    <mergeCell ref="F578:H578"/>
    <mergeCell ref="E576:H576"/>
    <mergeCell ref="A16:I16"/>
    <mergeCell ref="A17:I17"/>
    <mergeCell ref="B80:B83"/>
    <mergeCell ref="B49:H49"/>
    <mergeCell ref="B23:H23"/>
    <mergeCell ref="B157:H157"/>
    <mergeCell ref="B274:H274"/>
    <mergeCell ref="B330:H330"/>
    <mergeCell ref="B405:H405"/>
    <mergeCell ref="B479:H479"/>
    <mergeCell ref="B20:H20"/>
    <mergeCell ref="B278:B282"/>
    <mergeCell ref="B283:B287"/>
    <mergeCell ref="B311:B313"/>
    <mergeCell ref="B314:B318"/>
    <mergeCell ref="B319:B321"/>
    <mergeCell ref="B322:B324"/>
    <mergeCell ref="B288:B292"/>
    <mergeCell ref="B264:B268"/>
    <mergeCell ref="B269:B270"/>
    <mergeCell ref="B271:B273"/>
    <mergeCell ref="B254:B258"/>
    <mergeCell ref="B259:B263"/>
    <mergeCell ref="A1:I11"/>
    <mergeCell ref="A12:F13"/>
    <mergeCell ref="G12:I12"/>
    <mergeCell ref="G13:I13"/>
    <mergeCell ref="A14:F14"/>
    <mergeCell ref="G14:G15"/>
    <mergeCell ref="H14:I14"/>
    <mergeCell ref="A15:F15"/>
    <mergeCell ref="H15:I15"/>
    <mergeCell ref="B21:H21"/>
    <mergeCell ref="B150:B156"/>
    <mergeCell ref="B132:H132"/>
    <mergeCell ref="B72:B75"/>
    <mergeCell ref="B76:B79"/>
    <mergeCell ref="B52:B55"/>
    <mergeCell ref="B56:B59"/>
    <mergeCell ref="B60:B63"/>
    <mergeCell ref="B64:B67"/>
    <mergeCell ref="B68:B71"/>
    <mergeCell ref="B249:B253"/>
    <mergeCell ref="B349:B353"/>
    <mergeCell ref="B354:B358"/>
    <mergeCell ref="B359:B363"/>
    <mergeCell ref="B364:B368"/>
    <mergeCell ref="B369:B373"/>
    <mergeCell ref="B325:B326"/>
    <mergeCell ref="B327:B329"/>
    <mergeCell ref="B334:B338"/>
    <mergeCell ref="B339:B343"/>
    <mergeCell ref="B344:B348"/>
    <mergeCell ref="B402:B404"/>
    <mergeCell ref="B398:B401"/>
    <mergeCell ref="B379:B383"/>
    <mergeCell ref="B409:B413"/>
    <mergeCell ref="B374:B378"/>
    <mergeCell ref="B384:B386"/>
    <mergeCell ref="B387:B389"/>
    <mergeCell ref="B390:B392"/>
    <mergeCell ref="B393:B397"/>
    <mergeCell ref="B439:B443"/>
    <mergeCell ref="B444:B448"/>
    <mergeCell ref="B449:B453"/>
    <mergeCell ref="B454:B458"/>
    <mergeCell ref="B459:B461"/>
    <mergeCell ref="B414:B418"/>
    <mergeCell ref="B419:B423"/>
    <mergeCell ref="B424:B428"/>
    <mergeCell ref="B429:B433"/>
    <mergeCell ref="B434:B438"/>
    <mergeCell ref="B523:B527"/>
    <mergeCell ref="B476:B478"/>
    <mergeCell ref="B483:B487"/>
    <mergeCell ref="B488:B492"/>
    <mergeCell ref="B493:B497"/>
    <mergeCell ref="B498:B502"/>
    <mergeCell ref="B462:B464"/>
    <mergeCell ref="B465:B467"/>
    <mergeCell ref="B468:B470"/>
    <mergeCell ref="B471:B473"/>
    <mergeCell ref="B474:B475"/>
    <mergeCell ref="B566:B568"/>
    <mergeCell ref="B569:B570"/>
    <mergeCell ref="B571:B573"/>
    <mergeCell ref="B50:B51"/>
    <mergeCell ref="B276:B277"/>
    <mergeCell ref="B158:B159"/>
    <mergeCell ref="B160:B164"/>
    <mergeCell ref="B332:B333"/>
    <mergeCell ref="B407:B408"/>
    <mergeCell ref="B481:B482"/>
    <mergeCell ref="B551:B553"/>
    <mergeCell ref="B554:B556"/>
    <mergeCell ref="B557:B559"/>
    <mergeCell ref="B560:B562"/>
    <mergeCell ref="B563:B565"/>
    <mergeCell ref="B528:B532"/>
    <mergeCell ref="B533:B537"/>
    <mergeCell ref="B538:B542"/>
    <mergeCell ref="B543:B547"/>
    <mergeCell ref="B548:B550"/>
    <mergeCell ref="B503:B507"/>
    <mergeCell ref="B508:B512"/>
    <mergeCell ref="B513:B517"/>
    <mergeCell ref="B518:B522"/>
  </mergeCells>
  <pageMargins left="0.51181102362204722" right="0.51181102362204722" top="0.78740157480314965" bottom="0.78740157480314965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5" zoomScaleNormal="85" workbookViewId="0">
      <selection sqref="A1:I32"/>
    </sheetView>
  </sheetViews>
  <sheetFormatPr defaultRowHeight="15" x14ac:dyDescent="0.25"/>
  <cols>
    <col min="2" max="2" width="33.5703125" style="22" customWidth="1"/>
    <col min="3" max="3" width="33.5703125" style="1" customWidth="1"/>
    <col min="4" max="4" width="17.5703125" style="19" customWidth="1"/>
    <col min="5" max="5" width="11.85546875" customWidth="1"/>
    <col min="6" max="6" width="13.140625" style="26" customWidth="1"/>
    <col min="7" max="7" width="11.5703125" style="6" customWidth="1"/>
    <col min="8" max="8" width="12" style="16" customWidth="1"/>
    <col min="9" max="9" width="12.42578125" style="16" customWidth="1"/>
    <col min="10" max="10" width="17.7109375" style="7" customWidth="1"/>
  </cols>
  <sheetData>
    <row r="1" spans="1:12" x14ac:dyDescent="0.25">
      <c r="A1" s="200"/>
      <c r="B1" s="200"/>
      <c r="C1" s="200"/>
      <c r="D1" s="200"/>
      <c r="E1" s="200"/>
      <c r="F1" s="200"/>
      <c r="G1" s="200"/>
      <c r="H1" s="200"/>
      <c r="I1" s="200"/>
    </row>
    <row r="2" spans="1:12" x14ac:dyDescent="0.25">
      <c r="A2" s="200"/>
      <c r="B2" s="200"/>
      <c r="C2" s="200"/>
      <c r="D2" s="200"/>
      <c r="E2" s="200"/>
      <c r="F2" s="200"/>
      <c r="G2" s="200"/>
      <c r="H2" s="200"/>
      <c r="I2" s="200"/>
    </row>
    <row r="3" spans="1:12" x14ac:dyDescent="0.25">
      <c r="A3" s="200"/>
      <c r="B3" s="200"/>
      <c r="C3" s="200"/>
      <c r="D3" s="200"/>
      <c r="E3" s="200"/>
      <c r="F3" s="200"/>
      <c r="G3" s="200"/>
      <c r="H3" s="200"/>
      <c r="I3" s="200"/>
    </row>
    <row r="4" spans="1:12" x14ac:dyDescent="0.25">
      <c r="A4" s="200"/>
      <c r="B4" s="200"/>
      <c r="C4" s="200"/>
      <c r="D4" s="200"/>
      <c r="E4" s="200"/>
      <c r="F4" s="200"/>
      <c r="G4" s="200"/>
      <c r="H4" s="200"/>
      <c r="I4" s="200"/>
    </row>
    <row r="5" spans="1:12" x14ac:dyDescent="0.25">
      <c r="A5" s="200"/>
      <c r="B5" s="200"/>
      <c r="C5" s="200"/>
      <c r="D5" s="200"/>
      <c r="E5" s="200"/>
      <c r="F5" s="200"/>
      <c r="G5" s="200"/>
      <c r="H5" s="200"/>
      <c r="I5" s="200"/>
    </row>
    <row r="6" spans="1:12" x14ac:dyDescent="0.25">
      <c r="A6" s="200"/>
      <c r="B6" s="200"/>
      <c r="C6" s="200"/>
      <c r="D6" s="200"/>
      <c r="E6" s="200"/>
      <c r="F6" s="200"/>
      <c r="G6" s="200"/>
      <c r="H6" s="200"/>
      <c r="I6" s="200"/>
    </row>
    <row r="7" spans="1:12" x14ac:dyDescent="0.25">
      <c r="A7" s="200"/>
      <c r="B7" s="200"/>
      <c r="C7" s="200"/>
      <c r="D7" s="200"/>
      <c r="E7" s="200"/>
      <c r="F7" s="200"/>
      <c r="G7" s="200"/>
      <c r="H7" s="200"/>
      <c r="I7" s="200"/>
    </row>
    <row r="8" spans="1:12" x14ac:dyDescent="0.25">
      <c r="A8" s="200"/>
      <c r="B8" s="200"/>
      <c r="C8" s="200"/>
      <c r="D8" s="200"/>
      <c r="E8" s="200"/>
      <c r="F8" s="200"/>
      <c r="G8" s="200"/>
      <c r="H8" s="200"/>
      <c r="I8" s="200"/>
    </row>
    <row r="9" spans="1:12" x14ac:dyDescent="0.25">
      <c r="A9" s="200"/>
      <c r="B9" s="200"/>
      <c r="C9" s="200"/>
      <c r="D9" s="200"/>
      <c r="E9" s="200"/>
      <c r="F9" s="200"/>
      <c r="G9" s="200"/>
      <c r="H9" s="200"/>
      <c r="I9" s="200"/>
    </row>
    <row r="10" spans="1:12" x14ac:dyDescent="0.25">
      <c r="A10" s="200"/>
      <c r="B10" s="200"/>
      <c r="C10" s="200"/>
      <c r="D10" s="200"/>
      <c r="E10" s="200"/>
      <c r="F10" s="200"/>
      <c r="G10" s="200"/>
      <c r="H10" s="200"/>
      <c r="I10" s="200"/>
    </row>
    <row r="11" spans="1:12" x14ac:dyDescent="0.25">
      <c r="A11" s="200"/>
      <c r="B11" s="200"/>
      <c r="C11" s="200"/>
      <c r="D11" s="200"/>
      <c r="E11" s="200"/>
      <c r="F11" s="200"/>
      <c r="G11" s="200"/>
      <c r="H11" s="200"/>
      <c r="I11" s="200"/>
    </row>
    <row r="12" spans="1:12" ht="15" customHeight="1" x14ac:dyDescent="0.25">
      <c r="A12" s="201"/>
      <c r="B12" s="201"/>
      <c r="C12" s="201"/>
      <c r="D12" s="201"/>
      <c r="E12" s="201"/>
      <c r="F12" s="201"/>
      <c r="G12" s="202" t="s">
        <v>54</v>
      </c>
      <c r="H12" s="202"/>
      <c r="I12" s="202"/>
      <c r="J12" s="35"/>
      <c r="K12" s="36"/>
      <c r="L12" s="34"/>
    </row>
    <row r="13" spans="1:12" ht="15" customHeight="1" x14ac:dyDescent="0.25">
      <c r="A13" s="201"/>
      <c r="B13" s="201"/>
      <c r="C13" s="201"/>
      <c r="D13" s="201"/>
      <c r="E13" s="201"/>
      <c r="F13" s="201"/>
      <c r="G13" s="202" t="s">
        <v>193</v>
      </c>
      <c r="H13" s="202"/>
      <c r="I13" s="202"/>
      <c r="J13" s="35"/>
      <c r="K13" s="36"/>
      <c r="L13" s="34"/>
    </row>
    <row r="14" spans="1:12" ht="15" customHeight="1" x14ac:dyDescent="0.25">
      <c r="A14" s="203" t="s">
        <v>29</v>
      </c>
      <c r="B14" s="203"/>
      <c r="C14" s="203"/>
      <c r="D14" s="203"/>
      <c r="E14" s="203"/>
      <c r="F14" s="203"/>
      <c r="G14" s="204" t="s">
        <v>32</v>
      </c>
      <c r="H14" s="197" t="s">
        <v>33</v>
      </c>
      <c r="I14" s="199"/>
      <c r="J14" s="35"/>
      <c r="K14" s="36"/>
      <c r="L14" s="34"/>
    </row>
    <row r="15" spans="1:12" ht="15" customHeight="1" x14ac:dyDescent="0.25">
      <c r="A15" s="203" t="s">
        <v>192</v>
      </c>
      <c r="B15" s="203"/>
      <c r="C15" s="203"/>
      <c r="D15" s="203"/>
      <c r="E15" s="203"/>
      <c r="F15" s="203"/>
      <c r="G15" s="204"/>
      <c r="H15" s="205" t="s">
        <v>34</v>
      </c>
      <c r="I15" s="206"/>
      <c r="J15" s="35"/>
      <c r="K15" s="37"/>
      <c r="L15" s="34"/>
    </row>
    <row r="16" spans="1:12" ht="21" customHeight="1" x14ac:dyDescent="0.35">
      <c r="A16" s="194" t="s">
        <v>31</v>
      </c>
      <c r="B16" s="195"/>
      <c r="C16" s="195"/>
      <c r="D16" s="195"/>
      <c r="E16" s="195"/>
      <c r="F16" s="195"/>
      <c r="G16" s="195"/>
      <c r="H16" s="195"/>
      <c r="I16" s="196"/>
      <c r="J16" s="35"/>
      <c r="K16" s="38"/>
      <c r="L16" s="34"/>
    </row>
    <row r="17" spans="1:14" ht="23.25" customHeight="1" x14ac:dyDescent="0.35">
      <c r="A17" s="217" t="s">
        <v>46</v>
      </c>
      <c r="B17" s="218"/>
      <c r="C17" s="218"/>
      <c r="D17" s="218"/>
      <c r="E17" s="218"/>
      <c r="F17" s="219"/>
      <c r="G17" s="219"/>
      <c r="H17" s="219"/>
      <c r="I17" s="220"/>
      <c r="J17" s="35"/>
      <c r="K17" s="34"/>
      <c r="L17" s="34"/>
      <c r="M17" s="32"/>
      <c r="N17" s="32"/>
    </row>
    <row r="18" spans="1:14" x14ac:dyDescent="0.25">
      <c r="A18" s="221"/>
      <c r="B18" s="222"/>
      <c r="C18" s="223"/>
      <c r="D18" s="227" t="s">
        <v>47</v>
      </c>
      <c r="E18" s="229" t="s">
        <v>48</v>
      </c>
      <c r="F18" s="202" t="s">
        <v>49</v>
      </c>
      <c r="G18" s="202" t="s">
        <v>50</v>
      </c>
      <c r="H18" s="202" t="s">
        <v>355</v>
      </c>
      <c r="I18" s="202" t="s">
        <v>356</v>
      </c>
      <c r="M18" s="32"/>
      <c r="N18" s="32"/>
    </row>
    <row r="19" spans="1:14" x14ac:dyDescent="0.25">
      <c r="A19" s="224"/>
      <c r="B19" s="225"/>
      <c r="C19" s="226"/>
      <c r="D19" s="228"/>
      <c r="E19" s="230"/>
      <c r="F19" s="202"/>
      <c r="G19" s="202"/>
      <c r="H19" s="202"/>
      <c r="I19" s="202"/>
      <c r="M19" s="32"/>
      <c r="N19" s="32"/>
    </row>
    <row r="20" spans="1:14" ht="14.45" x14ac:dyDescent="0.35">
      <c r="A20" s="215" t="s">
        <v>83</v>
      </c>
      <c r="B20" s="216"/>
      <c r="C20" s="216"/>
      <c r="D20" s="106">
        <f>PO!I20</f>
        <v>280875.19376592094</v>
      </c>
      <c r="E20" s="107">
        <f>D20/D$25</f>
        <v>0.66945469792209511</v>
      </c>
      <c r="F20" s="231"/>
      <c r="G20" s="232"/>
      <c r="H20" s="182"/>
      <c r="I20" s="183"/>
      <c r="M20" s="32"/>
      <c r="N20" s="32"/>
    </row>
    <row r="21" spans="1:14" x14ac:dyDescent="0.25">
      <c r="A21" s="215" t="s">
        <v>350</v>
      </c>
      <c r="B21" s="216"/>
      <c r="C21" s="216"/>
      <c r="D21" s="106">
        <f>PO!I274</f>
        <v>28951.202756505001</v>
      </c>
      <c r="E21" s="107">
        <f t="shared" ref="E21:E25" si="0">D21/D$25</f>
        <v>6.9004024299809757E-2</v>
      </c>
      <c r="F21" s="184"/>
      <c r="G21" s="108"/>
      <c r="H21" s="108"/>
      <c r="I21" s="181"/>
      <c r="M21" s="32"/>
      <c r="N21" s="32"/>
    </row>
    <row r="22" spans="1:14" ht="14.45" x14ac:dyDescent="0.35">
      <c r="A22" s="215" t="s">
        <v>352</v>
      </c>
      <c r="B22" s="216"/>
      <c r="C22" s="216"/>
      <c r="D22" s="106">
        <f>PO!I330</f>
        <v>35928.342017657502</v>
      </c>
      <c r="E22" s="107">
        <f t="shared" si="0"/>
        <v>8.5633754372476514E-2</v>
      </c>
      <c r="F22" s="184"/>
      <c r="G22" s="108"/>
      <c r="H22" s="108"/>
      <c r="I22" s="181"/>
      <c r="M22" s="32"/>
      <c r="N22" s="32"/>
    </row>
    <row r="23" spans="1:14" ht="14.45" x14ac:dyDescent="0.35">
      <c r="A23" s="215" t="s">
        <v>353</v>
      </c>
      <c r="B23" s="216"/>
      <c r="C23" s="216"/>
      <c r="D23" s="106">
        <f>PO!I405</f>
        <v>31745.382397803754</v>
      </c>
      <c r="E23" s="107">
        <f t="shared" si="0"/>
        <v>7.5663838798290001E-2</v>
      </c>
      <c r="F23" s="184"/>
      <c r="G23" s="108"/>
      <c r="H23" s="108"/>
      <c r="I23" s="181"/>
      <c r="M23" s="32"/>
      <c r="N23" s="32"/>
    </row>
    <row r="24" spans="1:14" ht="14.45" x14ac:dyDescent="0.35">
      <c r="A24" s="215" t="s">
        <v>354</v>
      </c>
      <c r="B24" s="216"/>
      <c r="C24" s="216"/>
      <c r="D24" s="106">
        <f>PO!I479</f>
        <v>42058.057737567498</v>
      </c>
      <c r="E24" s="107">
        <f t="shared" si="0"/>
        <v>0.10024368460732859</v>
      </c>
      <c r="F24" s="184"/>
      <c r="G24" s="108"/>
      <c r="H24" s="108"/>
      <c r="I24" s="181"/>
      <c r="M24" s="32"/>
      <c r="N24" s="32"/>
    </row>
    <row r="25" spans="1:14" ht="14.45" x14ac:dyDescent="0.35">
      <c r="A25" s="214" t="s">
        <v>28</v>
      </c>
      <c r="B25" s="214"/>
      <c r="C25" s="214"/>
      <c r="D25" s="106">
        <f>SUM(D20:D24)</f>
        <v>419558.17867545469</v>
      </c>
      <c r="E25" s="107">
        <f t="shared" si="0"/>
        <v>1</v>
      </c>
      <c r="F25" s="109"/>
      <c r="G25" s="110"/>
      <c r="H25" s="110"/>
      <c r="I25" s="111"/>
    </row>
    <row r="26" spans="1:14" ht="14.45" x14ac:dyDescent="0.35">
      <c r="A26" s="48"/>
      <c r="B26" s="49"/>
      <c r="C26" s="50"/>
      <c r="D26" s="51"/>
      <c r="E26" s="52"/>
      <c r="F26" s="53"/>
      <c r="G26" s="54"/>
      <c r="H26" s="55"/>
      <c r="I26" s="120"/>
      <c r="J26" s="137"/>
      <c r="K26" s="23"/>
    </row>
    <row r="27" spans="1:14" ht="24" customHeight="1" x14ac:dyDescent="0.25">
      <c r="A27" s="57"/>
      <c r="B27" s="43" t="s">
        <v>36</v>
      </c>
      <c r="C27" s="44" t="s">
        <v>37</v>
      </c>
      <c r="D27" s="58"/>
      <c r="E27" s="193" t="s">
        <v>38</v>
      </c>
      <c r="F27" s="193"/>
      <c r="G27" s="193"/>
      <c r="H27" s="193"/>
      <c r="I27" s="121"/>
      <c r="J27" s="138"/>
      <c r="K27" s="23"/>
    </row>
    <row r="28" spans="1:14" ht="15" customHeight="1" x14ac:dyDescent="0.35">
      <c r="A28" s="57"/>
      <c r="B28" s="60" t="s">
        <v>39</v>
      </c>
      <c r="C28" s="44" t="s">
        <v>40</v>
      </c>
      <c r="D28" s="58"/>
      <c r="E28" s="46" t="s">
        <v>41</v>
      </c>
      <c r="F28" s="192" t="s">
        <v>42</v>
      </c>
      <c r="G28" s="192"/>
      <c r="H28" s="192"/>
      <c r="I28" s="122"/>
      <c r="J28" s="139"/>
      <c r="K28" s="23"/>
    </row>
    <row r="29" spans="1:14" ht="15" customHeight="1" x14ac:dyDescent="0.35">
      <c r="A29" s="62"/>
      <c r="B29" s="60"/>
      <c r="C29" s="63"/>
      <c r="D29" s="58"/>
      <c r="E29" s="46" t="s">
        <v>43</v>
      </c>
      <c r="F29" s="192" t="s">
        <v>44</v>
      </c>
      <c r="G29" s="192"/>
      <c r="H29" s="192"/>
      <c r="I29" s="122"/>
      <c r="J29" s="139"/>
      <c r="K29" s="23"/>
    </row>
    <row r="30" spans="1:14" ht="14.45" x14ac:dyDescent="0.35">
      <c r="A30" s="57"/>
      <c r="B30" s="64"/>
      <c r="C30" s="65"/>
      <c r="D30" s="58"/>
      <c r="E30" s="66"/>
      <c r="F30" s="67"/>
      <c r="G30" s="68"/>
      <c r="H30" s="69"/>
      <c r="I30" s="123"/>
      <c r="J30" s="137"/>
      <c r="K30" s="23"/>
    </row>
    <row r="31" spans="1:14" ht="14.45" x14ac:dyDescent="0.35">
      <c r="A31" s="57"/>
      <c r="B31" s="64"/>
      <c r="C31" s="65"/>
      <c r="D31" s="58"/>
      <c r="E31" s="66"/>
      <c r="F31" s="67"/>
      <c r="G31" s="68"/>
      <c r="H31" s="69"/>
      <c r="I31" s="123"/>
      <c r="J31" s="137"/>
      <c r="K31" s="23"/>
    </row>
    <row r="32" spans="1:14" ht="14.45" x14ac:dyDescent="0.35">
      <c r="A32" s="71"/>
      <c r="B32" s="72"/>
      <c r="C32" s="73"/>
      <c r="D32" s="74"/>
      <c r="E32" s="75"/>
      <c r="F32" s="76"/>
      <c r="G32" s="77"/>
      <c r="H32" s="78"/>
      <c r="I32" s="124"/>
    </row>
  </sheetData>
  <mergeCells count="28">
    <mergeCell ref="A1:I11"/>
    <mergeCell ref="A12:F13"/>
    <mergeCell ref="G12:I12"/>
    <mergeCell ref="G13:I13"/>
    <mergeCell ref="A14:F14"/>
    <mergeCell ref="G14:G15"/>
    <mergeCell ref="H14:I14"/>
    <mergeCell ref="A15:F15"/>
    <mergeCell ref="H15:I15"/>
    <mergeCell ref="F29:H29"/>
    <mergeCell ref="A17:I17"/>
    <mergeCell ref="A18:C19"/>
    <mergeCell ref="D18:D19"/>
    <mergeCell ref="E18:E19"/>
    <mergeCell ref="F20:G20"/>
    <mergeCell ref="A16:I16"/>
    <mergeCell ref="E27:H27"/>
    <mergeCell ref="F28:H28"/>
    <mergeCell ref="A25:C25"/>
    <mergeCell ref="A20:C20"/>
    <mergeCell ref="A21:C21"/>
    <mergeCell ref="A22:C22"/>
    <mergeCell ref="A23:C23"/>
    <mergeCell ref="A24:C24"/>
    <mergeCell ref="F18:F19"/>
    <mergeCell ref="G18:G19"/>
    <mergeCell ref="H18:H19"/>
    <mergeCell ref="I18:I1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1"/>
  <sheetViews>
    <sheetView tabSelected="1" zoomScale="70" zoomScaleNormal="70" workbookViewId="0">
      <selection sqref="A1:P581"/>
    </sheetView>
  </sheetViews>
  <sheetFormatPr defaultRowHeight="15" x14ac:dyDescent="0.25"/>
  <cols>
    <col min="1" max="1" width="8.7109375" style="1"/>
    <col min="2" max="2" width="33.5703125" style="146" customWidth="1"/>
    <col min="3" max="3" width="33.5703125" style="1" customWidth="1"/>
    <col min="4" max="4" width="40" style="19" customWidth="1"/>
    <col min="6" max="6" width="14.7109375" style="26" bestFit="1" customWidth="1"/>
    <col min="7" max="7" width="16.140625" style="6" bestFit="1" customWidth="1"/>
    <col min="8" max="8" width="24.5703125" style="16" bestFit="1" customWidth="1"/>
    <col min="9" max="9" width="18.7109375" style="6" bestFit="1" customWidth="1"/>
    <col min="10" max="10" width="17.7109375" style="7" customWidth="1"/>
    <col min="11" max="11" width="12.5703125" customWidth="1"/>
    <col min="12" max="12" width="18.85546875" customWidth="1"/>
    <col min="13" max="13" width="18.7109375" customWidth="1"/>
    <col min="14" max="14" width="13.85546875" customWidth="1"/>
    <col min="15" max="15" width="16.85546875" customWidth="1"/>
  </cols>
  <sheetData>
    <row r="1" spans="1:16" x14ac:dyDescent="0.25">
      <c r="A1" s="240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2"/>
    </row>
    <row r="2" spans="1:16" x14ac:dyDescent="0.25">
      <c r="A2" s="243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</row>
    <row r="3" spans="1:16" x14ac:dyDescent="0.25">
      <c r="A3" s="243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5"/>
    </row>
    <row r="4" spans="1:16" x14ac:dyDescent="0.25">
      <c r="A4" s="243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5"/>
    </row>
    <row r="5" spans="1:16" x14ac:dyDescent="0.25">
      <c r="A5" s="24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5"/>
    </row>
    <row r="6" spans="1:16" x14ac:dyDescent="0.25">
      <c r="A6" s="243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5"/>
    </row>
    <row r="7" spans="1:16" x14ac:dyDescent="0.25">
      <c r="A7" s="243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5"/>
    </row>
    <row r="8" spans="1:16" x14ac:dyDescent="0.25">
      <c r="A8" s="243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5"/>
    </row>
    <row r="9" spans="1:16" x14ac:dyDescent="0.25">
      <c r="A9" s="24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5"/>
    </row>
    <row r="10" spans="1:16" x14ac:dyDescent="0.25">
      <c r="A10" s="243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</row>
    <row r="11" spans="1:16" x14ac:dyDescent="0.25">
      <c r="A11" s="246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8"/>
    </row>
    <row r="12" spans="1:16" ht="15" customHeight="1" x14ac:dyDescent="0.25">
      <c r="A12" s="249"/>
      <c r="B12" s="249"/>
      <c r="C12" s="249"/>
      <c r="D12" s="249"/>
      <c r="E12" s="249"/>
      <c r="F12" s="249"/>
      <c r="G12" s="250" t="s">
        <v>55</v>
      </c>
      <c r="H12" s="250"/>
      <c r="I12" s="250"/>
      <c r="J12" s="251" t="s">
        <v>56</v>
      </c>
      <c r="K12" s="251"/>
      <c r="L12" s="251"/>
      <c r="M12" s="251"/>
      <c r="N12" s="251"/>
      <c r="O12" s="251"/>
      <c r="P12" s="251"/>
    </row>
    <row r="13" spans="1:16" ht="15" customHeight="1" x14ac:dyDescent="0.25">
      <c r="A13" s="201"/>
      <c r="B13" s="201"/>
      <c r="C13" s="201"/>
      <c r="D13" s="201"/>
      <c r="E13" s="201"/>
      <c r="F13" s="201"/>
      <c r="G13" s="202" t="s">
        <v>358</v>
      </c>
      <c r="H13" s="202"/>
      <c r="I13" s="202"/>
      <c r="J13" s="251"/>
      <c r="K13" s="251"/>
      <c r="L13" s="251"/>
      <c r="M13" s="251"/>
      <c r="N13" s="251"/>
      <c r="O13" s="251"/>
      <c r="P13" s="251"/>
    </row>
    <row r="14" spans="1:16" ht="15" customHeight="1" x14ac:dyDescent="0.25">
      <c r="A14" s="203" t="s">
        <v>29</v>
      </c>
      <c r="B14" s="203"/>
      <c r="C14" s="203"/>
      <c r="D14" s="203"/>
      <c r="E14" s="203"/>
      <c r="F14" s="203"/>
      <c r="G14" s="204" t="s">
        <v>32</v>
      </c>
      <c r="H14" s="197" t="s">
        <v>33</v>
      </c>
      <c r="I14" s="199"/>
      <c r="J14" s="251"/>
      <c r="K14" s="251"/>
      <c r="L14" s="251"/>
      <c r="M14" s="251"/>
      <c r="N14" s="251"/>
      <c r="O14" s="251"/>
      <c r="P14" s="251"/>
    </row>
    <row r="15" spans="1:16" ht="15" customHeight="1" x14ac:dyDescent="0.25">
      <c r="A15" s="203" t="s">
        <v>192</v>
      </c>
      <c r="B15" s="203"/>
      <c r="C15" s="203"/>
      <c r="D15" s="203"/>
      <c r="E15" s="203"/>
      <c r="F15" s="203"/>
      <c r="G15" s="204"/>
      <c r="H15" s="205" t="s">
        <v>34</v>
      </c>
      <c r="I15" s="206"/>
      <c r="J15" s="251"/>
      <c r="K15" s="251"/>
      <c r="L15" s="251"/>
      <c r="M15" s="251"/>
      <c r="N15" s="251"/>
      <c r="O15" s="251"/>
      <c r="P15" s="251"/>
    </row>
    <row r="16" spans="1:16" ht="21" customHeight="1" x14ac:dyDescent="0.25">
      <c r="A16" s="194" t="s">
        <v>31</v>
      </c>
      <c r="B16" s="195"/>
      <c r="C16" s="195"/>
      <c r="D16" s="195"/>
      <c r="E16" s="195"/>
      <c r="F16" s="195"/>
      <c r="G16" s="195"/>
      <c r="H16" s="195"/>
      <c r="I16" s="196"/>
      <c r="J16" s="251"/>
      <c r="K16" s="251"/>
      <c r="L16" s="251"/>
      <c r="M16" s="251"/>
      <c r="N16" s="251"/>
      <c r="O16" s="251"/>
      <c r="P16" s="251"/>
    </row>
    <row r="17" spans="1:16" ht="15" customHeight="1" x14ac:dyDescent="0.25">
      <c r="A17" s="197" t="s">
        <v>357</v>
      </c>
      <c r="B17" s="198"/>
      <c r="C17" s="198"/>
      <c r="D17" s="198"/>
      <c r="E17" s="198"/>
      <c r="F17" s="198"/>
      <c r="G17" s="198"/>
      <c r="H17" s="198"/>
      <c r="I17" s="199"/>
      <c r="J17" s="236" t="s">
        <v>57</v>
      </c>
      <c r="K17" s="237"/>
      <c r="L17" s="238"/>
      <c r="M17" s="236" t="s">
        <v>58</v>
      </c>
      <c r="N17" s="237"/>
      <c r="O17" s="238"/>
      <c r="P17" s="252" t="s">
        <v>59</v>
      </c>
    </row>
    <row r="18" spans="1:16" x14ac:dyDescent="0.25">
      <c r="A18" s="164" t="s">
        <v>10</v>
      </c>
      <c r="B18" s="140">
        <v>0.22470000000000001</v>
      </c>
      <c r="C18" s="11"/>
      <c r="D18" s="17"/>
      <c r="E18" s="3"/>
      <c r="F18" s="27"/>
      <c r="G18" s="9"/>
      <c r="H18" s="14"/>
      <c r="I18" s="5"/>
      <c r="J18" s="255" t="s">
        <v>60</v>
      </c>
      <c r="K18" s="252" t="s">
        <v>61</v>
      </c>
      <c r="L18" s="255" t="s">
        <v>62</v>
      </c>
      <c r="M18" s="255" t="s">
        <v>60</v>
      </c>
      <c r="N18" s="252" t="s">
        <v>61</v>
      </c>
      <c r="O18" s="255" t="s">
        <v>62</v>
      </c>
      <c r="P18" s="253"/>
    </row>
    <row r="19" spans="1:16" ht="45" customHeight="1" x14ac:dyDescent="0.25">
      <c r="A19" s="8" t="s">
        <v>0</v>
      </c>
      <c r="B19" s="145" t="s">
        <v>1</v>
      </c>
      <c r="C19" s="8" t="s">
        <v>11</v>
      </c>
      <c r="D19" s="18" t="s">
        <v>2</v>
      </c>
      <c r="E19" s="8" t="s">
        <v>3</v>
      </c>
      <c r="F19" s="114" t="s">
        <v>4</v>
      </c>
      <c r="G19" s="10" t="s">
        <v>5</v>
      </c>
      <c r="H19" s="10" t="s">
        <v>6</v>
      </c>
      <c r="I19" s="10" t="s">
        <v>7</v>
      </c>
      <c r="J19" s="256"/>
      <c r="K19" s="253"/>
      <c r="L19" s="256"/>
      <c r="M19" s="256"/>
      <c r="N19" s="253"/>
      <c r="O19" s="256"/>
      <c r="P19" s="253"/>
    </row>
    <row r="20" spans="1:16" ht="28.5" customHeight="1" x14ac:dyDescent="0.25">
      <c r="A20" s="164">
        <v>1</v>
      </c>
      <c r="B20" s="213" t="s">
        <v>83</v>
      </c>
      <c r="C20" s="213"/>
      <c r="D20" s="213"/>
      <c r="E20" s="213"/>
      <c r="F20" s="213"/>
      <c r="G20" s="213"/>
      <c r="H20" s="213"/>
      <c r="I20" s="30">
        <f>SUM(I21,I23,I49,I132,I157)</f>
        <v>439403.42351592105</v>
      </c>
      <c r="J20" s="257"/>
      <c r="K20" s="254"/>
      <c r="L20" s="257"/>
      <c r="M20" s="257"/>
      <c r="N20" s="254"/>
      <c r="O20" s="257"/>
      <c r="P20" s="254"/>
    </row>
    <row r="21" spans="1:16" x14ac:dyDescent="0.25">
      <c r="A21" s="164">
        <v>2</v>
      </c>
      <c r="B21" s="212" t="s">
        <v>156</v>
      </c>
      <c r="C21" s="212"/>
      <c r="D21" s="212"/>
      <c r="E21" s="212"/>
      <c r="F21" s="212"/>
      <c r="G21" s="212"/>
      <c r="H21" s="212"/>
      <c r="I21" s="30">
        <f>I22</f>
        <v>1100.6780601600001</v>
      </c>
      <c r="J21" s="233"/>
      <c r="K21" s="234"/>
      <c r="L21" s="234"/>
      <c r="M21" s="234"/>
      <c r="N21" s="234"/>
      <c r="O21" s="234"/>
      <c r="P21" s="235"/>
    </row>
    <row r="22" spans="1:16" ht="29.1" x14ac:dyDescent="0.35">
      <c r="A22" s="164">
        <v>3</v>
      </c>
      <c r="B22" s="112"/>
      <c r="C22" s="150" t="s">
        <v>155</v>
      </c>
      <c r="D22" s="151" t="s">
        <v>154</v>
      </c>
      <c r="E22" s="112" t="s">
        <v>8</v>
      </c>
      <c r="F22" s="112">
        <v>2.88</v>
      </c>
      <c r="G22" s="112">
        <v>312.06</v>
      </c>
      <c r="H22" s="13">
        <f t="shared" ref="H22" si="0">G22+G22*B$18</f>
        <v>382.17988200000002</v>
      </c>
      <c r="I22" s="13">
        <f t="shared" ref="I22" si="1">H22*F22</f>
        <v>1100.6780601600001</v>
      </c>
      <c r="J22" s="126"/>
      <c r="K22" s="127"/>
      <c r="L22" s="127"/>
      <c r="M22" s="127"/>
      <c r="N22" s="127"/>
      <c r="O22" s="127"/>
      <c r="P22" s="127"/>
    </row>
    <row r="23" spans="1:16" x14ac:dyDescent="0.25">
      <c r="A23" s="164">
        <v>4</v>
      </c>
      <c r="B23" s="212" t="s">
        <v>82</v>
      </c>
      <c r="C23" s="212"/>
      <c r="D23" s="212"/>
      <c r="E23" s="212"/>
      <c r="F23" s="212"/>
      <c r="G23" s="212"/>
      <c r="H23" s="212"/>
      <c r="I23" s="165">
        <f>SUM(I24:I48)</f>
        <v>14546.557024228003</v>
      </c>
      <c r="J23" s="236"/>
      <c r="K23" s="237"/>
      <c r="L23" s="237"/>
      <c r="M23" s="237"/>
      <c r="N23" s="237"/>
      <c r="O23" s="237"/>
      <c r="P23" s="238"/>
    </row>
    <row r="24" spans="1:16" ht="45" x14ac:dyDescent="0.25">
      <c r="A24" s="164">
        <v>5</v>
      </c>
      <c r="B24" s="154" t="s">
        <v>105</v>
      </c>
      <c r="C24" s="144" t="s">
        <v>67</v>
      </c>
      <c r="D24" s="143" t="s">
        <v>66</v>
      </c>
      <c r="E24" s="112" t="s">
        <v>8</v>
      </c>
      <c r="F24" s="20">
        <v>118.64</v>
      </c>
      <c r="G24" s="13">
        <v>8.86</v>
      </c>
      <c r="H24" s="13">
        <f t="shared" ref="H24:H48" si="2">G24+G24*B$18</f>
        <v>10.850842</v>
      </c>
      <c r="I24" s="13">
        <f t="shared" ref="I24:I48" si="3">H24*F24</f>
        <v>1287.3438948800001</v>
      </c>
      <c r="J24" s="129"/>
      <c r="K24" s="129"/>
      <c r="L24" s="129"/>
      <c r="M24" s="129"/>
      <c r="N24" s="129"/>
      <c r="O24" s="129"/>
      <c r="P24" s="129"/>
    </row>
    <row r="25" spans="1:16" ht="45" x14ac:dyDescent="0.25">
      <c r="A25" s="164">
        <v>6</v>
      </c>
      <c r="B25" s="154" t="s">
        <v>106</v>
      </c>
      <c r="C25" s="144" t="s">
        <v>67</v>
      </c>
      <c r="D25" s="143" t="s">
        <v>66</v>
      </c>
      <c r="E25" s="112" t="s">
        <v>8</v>
      </c>
      <c r="F25" s="20">
        <v>113.9</v>
      </c>
      <c r="G25" s="13">
        <v>8.86</v>
      </c>
      <c r="H25" s="13">
        <f t="shared" si="2"/>
        <v>10.850842</v>
      </c>
      <c r="I25" s="13">
        <f t="shared" si="3"/>
        <v>1235.9109038000001</v>
      </c>
      <c r="J25" s="126"/>
      <c r="K25" s="127"/>
      <c r="L25" s="127"/>
      <c r="M25" s="127"/>
      <c r="N25" s="127"/>
      <c r="O25" s="127"/>
      <c r="P25" s="127"/>
    </row>
    <row r="26" spans="1:16" ht="45" x14ac:dyDescent="0.25">
      <c r="A26" s="164">
        <v>7</v>
      </c>
      <c r="B26" s="154" t="s">
        <v>107</v>
      </c>
      <c r="C26" s="144" t="s">
        <v>67</v>
      </c>
      <c r="D26" s="143" t="s">
        <v>66</v>
      </c>
      <c r="E26" s="112" t="s">
        <v>8</v>
      </c>
      <c r="F26" s="20">
        <v>40.6</v>
      </c>
      <c r="G26" s="13">
        <v>8.86</v>
      </c>
      <c r="H26" s="13">
        <f t="shared" si="2"/>
        <v>10.850842</v>
      </c>
      <c r="I26" s="13">
        <f t="shared" si="3"/>
        <v>440.54418520000002</v>
      </c>
      <c r="J26" s="126"/>
      <c r="K26" s="127"/>
      <c r="L26" s="127"/>
      <c r="M26" s="127"/>
      <c r="N26" s="127"/>
      <c r="O26" s="127"/>
      <c r="P26" s="127"/>
    </row>
    <row r="27" spans="1:16" ht="45" x14ac:dyDescent="0.25">
      <c r="A27" s="164">
        <v>8</v>
      </c>
      <c r="B27" s="154" t="s">
        <v>108</v>
      </c>
      <c r="C27" s="144" t="s">
        <v>67</v>
      </c>
      <c r="D27" s="143" t="s">
        <v>66</v>
      </c>
      <c r="E27" s="112" t="s">
        <v>8</v>
      </c>
      <c r="F27" s="20">
        <v>93.31</v>
      </c>
      <c r="G27" s="13">
        <v>8.86</v>
      </c>
      <c r="H27" s="13">
        <f t="shared" si="2"/>
        <v>10.850842</v>
      </c>
      <c r="I27" s="13">
        <f t="shared" si="3"/>
        <v>1012.49206702</v>
      </c>
      <c r="J27" s="128"/>
      <c r="K27" s="127"/>
      <c r="L27" s="127"/>
      <c r="M27" s="127"/>
      <c r="N27" s="127"/>
      <c r="O27" s="127"/>
      <c r="P27" s="127"/>
    </row>
    <row r="28" spans="1:16" ht="45" x14ac:dyDescent="0.25">
      <c r="A28" s="164">
        <v>9</v>
      </c>
      <c r="B28" s="154" t="s">
        <v>109</v>
      </c>
      <c r="C28" s="144" t="s">
        <v>67</v>
      </c>
      <c r="D28" s="143" t="s">
        <v>66</v>
      </c>
      <c r="E28" s="112" t="s">
        <v>8</v>
      </c>
      <c r="F28" s="20">
        <v>130.69</v>
      </c>
      <c r="G28" s="13">
        <v>8.86</v>
      </c>
      <c r="H28" s="13">
        <f t="shared" si="2"/>
        <v>10.850842</v>
      </c>
      <c r="I28" s="13">
        <f t="shared" si="3"/>
        <v>1418.0965409800001</v>
      </c>
      <c r="J28" s="128"/>
      <c r="K28" s="127"/>
      <c r="L28" s="127"/>
      <c r="M28" s="127"/>
      <c r="N28" s="127"/>
      <c r="O28" s="127"/>
      <c r="P28" s="127"/>
    </row>
    <row r="29" spans="1:16" ht="45" x14ac:dyDescent="0.25">
      <c r="A29" s="164">
        <v>10</v>
      </c>
      <c r="B29" s="154" t="s">
        <v>140</v>
      </c>
      <c r="C29" s="144" t="s">
        <v>67</v>
      </c>
      <c r="D29" s="143" t="s">
        <v>66</v>
      </c>
      <c r="E29" s="112" t="s">
        <v>8</v>
      </c>
      <c r="F29" s="20">
        <v>41.4</v>
      </c>
      <c r="G29" s="13">
        <v>8.86</v>
      </c>
      <c r="H29" s="13">
        <f t="shared" si="2"/>
        <v>10.850842</v>
      </c>
      <c r="I29" s="13">
        <f t="shared" si="3"/>
        <v>449.22485879999999</v>
      </c>
      <c r="J29" s="126"/>
      <c r="K29" s="127"/>
      <c r="L29" s="127"/>
      <c r="M29" s="127"/>
      <c r="N29" s="127"/>
      <c r="O29" s="127"/>
      <c r="P29" s="127"/>
    </row>
    <row r="30" spans="1:16" ht="45" x14ac:dyDescent="0.25">
      <c r="A30" s="164">
        <v>11</v>
      </c>
      <c r="B30" s="154" t="s">
        <v>141</v>
      </c>
      <c r="C30" s="144" t="s">
        <v>67</v>
      </c>
      <c r="D30" s="143" t="s">
        <v>66</v>
      </c>
      <c r="E30" s="112" t="s">
        <v>8</v>
      </c>
      <c r="F30" s="20">
        <v>38.590000000000003</v>
      </c>
      <c r="G30" s="13">
        <v>8.86</v>
      </c>
      <c r="H30" s="13">
        <f t="shared" si="2"/>
        <v>10.850842</v>
      </c>
      <c r="I30" s="13">
        <f t="shared" si="3"/>
        <v>418.73399278000005</v>
      </c>
      <c r="J30" s="126"/>
      <c r="K30" s="127"/>
      <c r="L30" s="127"/>
      <c r="M30" s="127"/>
      <c r="N30" s="127"/>
      <c r="O30" s="127"/>
      <c r="P30" s="127"/>
    </row>
    <row r="31" spans="1:16" ht="45" x14ac:dyDescent="0.25">
      <c r="A31" s="164">
        <v>12</v>
      </c>
      <c r="B31" s="154" t="s">
        <v>142</v>
      </c>
      <c r="C31" s="144" t="s">
        <v>67</v>
      </c>
      <c r="D31" s="143" t="s">
        <v>66</v>
      </c>
      <c r="E31" s="112" t="s">
        <v>8</v>
      </c>
      <c r="F31" s="20">
        <v>41.49</v>
      </c>
      <c r="G31" s="13">
        <v>8.86</v>
      </c>
      <c r="H31" s="13">
        <f t="shared" si="2"/>
        <v>10.850842</v>
      </c>
      <c r="I31" s="13">
        <f t="shared" si="3"/>
        <v>450.20143458000001</v>
      </c>
      <c r="J31" s="126"/>
      <c r="K31" s="127"/>
      <c r="L31" s="127"/>
      <c r="M31" s="127"/>
      <c r="N31" s="127"/>
      <c r="O31" s="127"/>
      <c r="P31" s="127"/>
    </row>
    <row r="32" spans="1:16" ht="45" x14ac:dyDescent="0.25">
      <c r="A32" s="164">
        <v>13</v>
      </c>
      <c r="B32" s="154" t="s">
        <v>140</v>
      </c>
      <c r="C32" s="144" t="s">
        <v>101</v>
      </c>
      <c r="D32" s="143" t="s">
        <v>102</v>
      </c>
      <c r="E32" s="112" t="s">
        <v>8</v>
      </c>
      <c r="F32" s="20">
        <v>41.4</v>
      </c>
      <c r="G32" s="13">
        <v>13.08</v>
      </c>
      <c r="H32" s="13">
        <f t="shared" si="2"/>
        <v>16.019075999999998</v>
      </c>
      <c r="I32" s="13">
        <f t="shared" si="3"/>
        <v>663.18974639999988</v>
      </c>
      <c r="J32" s="126"/>
      <c r="K32" s="127"/>
      <c r="L32" s="127"/>
      <c r="M32" s="127"/>
      <c r="N32" s="127"/>
      <c r="O32" s="127"/>
      <c r="P32" s="127"/>
    </row>
    <row r="33" spans="1:16" ht="15" customHeight="1" x14ac:dyDescent="0.25">
      <c r="A33" s="164">
        <v>14</v>
      </c>
      <c r="B33" s="154" t="s">
        <v>141</v>
      </c>
      <c r="C33" s="144" t="s">
        <v>101</v>
      </c>
      <c r="D33" s="143" t="s">
        <v>102</v>
      </c>
      <c r="E33" s="112" t="s">
        <v>8</v>
      </c>
      <c r="F33" s="20">
        <v>38.590000000000003</v>
      </c>
      <c r="G33" s="13">
        <v>13.08</v>
      </c>
      <c r="H33" s="13">
        <f t="shared" si="2"/>
        <v>16.019075999999998</v>
      </c>
      <c r="I33" s="13">
        <f t="shared" si="3"/>
        <v>618.17614284000001</v>
      </c>
      <c r="J33" s="126"/>
      <c r="K33" s="127"/>
      <c r="L33" s="127"/>
      <c r="M33" s="127"/>
      <c r="N33" s="127"/>
      <c r="O33" s="127"/>
      <c r="P33" s="127"/>
    </row>
    <row r="34" spans="1:16" ht="45" x14ac:dyDescent="0.25">
      <c r="A34" s="164">
        <v>15</v>
      </c>
      <c r="B34" s="154" t="s">
        <v>142</v>
      </c>
      <c r="C34" s="144" t="s">
        <v>101</v>
      </c>
      <c r="D34" s="143" t="s">
        <v>102</v>
      </c>
      <c r="E34" s="112" t="s">
        <v>8</v>
      </c>
      <c r="F34" s="20">
        <v>41.49</v>
      </c>
      <c r="G34" s="13">
        <v>13.08</v>
      </c>
      <c r="H34" s="13">
        <f t="shared" si="2"/>
        <v>16.019075999999998</v>
      </c>
      <c r="I34" s="13">
        <f t="shared" si="3"/>
        <v>664.63146324000002</v>
      </c>
      <c r="J34" s="126"/>
      <c r="K34" s="127"/>
      <c r="L34" s="127"/>
      <c r="M34" s="127"/>
      <c r="N34" s="127"/>
      <c r="O34" s="127"/>
      <c r="P34" s="127"/>
    </row>
    <row r="35" spans="1:16" ht="45" x14ac:dyDescent="0.25">
      <c r="A35" s="164">
        <v>16</v>
      </c>
      <c r="B35" s="154" t="s">
        <v>114</v>
      </c>
      <c r="C35" s="144" t="s">
        <v>85</v>
      </c>
      <c r="D35" s="143" t="s">
        <v>84</v>
      </c>
      <c r="E35" s="112" t="s">
        <v>8</v>
      </c>
      <c r="F35" s="20">
        <v>48.06</v>
      </c>
      <c r="G35" s="13">
        <v>10.49</v>
      </c>
      <c r="H35" s="13">
        <f t="shared" si="2"/>
        <v>12.847103000000001</v>
      </c>
      <c r="I35" s="13">
        <f t="shared" si="3"/>
        <v>617.43177018000006</v>
      </c>
      <c r="J35" s="126"/>
      <c r="K35" s="127"/>
      <c r="L35" s="127"/>
      <c r="M35" s="127"/>
      <c r="N35" s="127"/>
      <c r="O35" s="127"/>
      <c r="P35" s="127"/>
    </row>
    <row r="36" spans="1:16" ht="60" x14ac:dyDescent="0.25">
      <c r="A36" s="164">
        <v>17</v>
      </c>
      <c r="B36" s="154" t="s">
        <v>114</v>
      </c>
      <c r="C36" s="144" t="s">
        <v>86</v>
      </c>
      <c r="D36" s="147" t="s">
        <v>87</v>
      </c>
      <c r="E36" s="112" t="s">
        <v>8</v>
      </c>
      <c r="F36" s="20">
        <v>48.06</v>
      </c>
      <c r="G36" s="13">
        <v>11.82</v>
      </c>
      <c r="H36" s="13">
        <f t="shared" si="2"/>
        <v>14.475954000000002</v>
      </c>
      <c r="I36" s="13">
        <f t="shared" si="3"/>
        <v>695.71434924000016</v>
      </c>
      <c r="J36" s="126"/>
      <c r="K36" s="127"/>
      <c r="L36" s="127"/>
      <c r="M36" s="127"/>
      <c r="N36" s="127"/>
      <c r="O36" s="127"/>
      <c r="P36" s="127"/>
    </row>
    <row r="37" spans="1:16" ht="45" x14ac:dyDescent="0.25">
      <c r="A37" s="164">
        <v>18</v>
      </c>
      <c r="B37" s="154" t="s">
        <v>115</v>
      </c>
      <c r="C37" s="144" t="s">
        <v>85</v>
      </c>
      <c r="D37" s="143" t="s">
        <v>84</v>
      </c>
      <c r="E37" s="112" t="s">
        <v>8</v>
      </c>
      <c r="F37" s="20">
        <v>47.76</v>
      </c>
      <c r="G37" s="13">
        <v>10.49</v>
      </c>
      <c r="H37" s="13">
        <f t="shared" si="2"/>
        <v>12.847103000000001</v>
      </c>
      <c r="I37" s="13">
        <f t="shared" si="3"/>
        <v>613.57763927999997</v>
      </c>
      <c r="J37" s="126"/>
      <c r="K37" s="127"/>
      <c r="L37" s="127"/>
      <c r="M37" s="127"/>
      <c r="N37" s="127"/>
      <c r="O37" s="127"/>
      <c r="P37" s="127"/>
    </row>
    <row r="38" spans="1:16" ht="60" x14ac:dyDescent="0.25">
      <c r="A38" s="164">
        <v>19</v>
      </c>
      <c r="B38" s="154" t="s">
        <v>115</v>
      </c>
      <c r="C38" s="144" t="s">
        <v>86</v>
      </c>
      <c r="D38" s="147" t="s">
        <v>87</v>
      </c>
      <c r="E38" s="112" t="s">
        <v>8</v>
      </c>
      <c r="F38" s="20">
        <v>47.76</v>
      </c>
      <c r="G38" s="13">
        <v>11.82</v>
      </c>
      <c r="H38" s="13">
        <f t="shared" si="2"/>
        <v>14.475954000000002</v>
      </c>
      <c r="I38" s="13">
        <f t="shared" si="3"/>
        <v>691.37156304000007</v>
      </c>
      <c r="J38" s="126"/>
      <c r="K38" s="127"/>
      <c r="L38" s="127"/>
      <c r="M38" s="127"/>
      <c r="N38" s="127"/>
      <c r="O38" s="127"/>
      <c r="P38" s="127"/>
    </row>
    <row r="39" spans="1:16" ht="15" customHeight="1" x14ac:dyDescent="0.25">
      <c r="A39" s="164">
        <v>20</v>
      </c>
      <c r="B39" s="154" t="s">
        <v>103</v>
      </c>
      <c r="C39" s="144" t="s">
        <v>85</v>
      </c>
      <c r="D39" s="143" t="s">
        <v>84</v>
      </c>
      <c r="E39" s="112" t="s">
        <v>8</v>
      </c>
      <c r="F39" s="20">
        <v>51.6</v>
      </c>
      <c r="G39" s="13">
        <v>10.49</v>
      </c>
      <c r="H39" s="13">
        <f t="shared" si="2"/>
        <v>12.847103000000001</v>
      </c>
      <c r="I39" s="13">
        <f t="shared" si="3"/>
        <v>662.9105148000001</v>
      </c>
      <c r="J39" s="126"/>
      <c r="K39" s="127"/>
      <c r="L39" s="127"/>
      <c r="M39" s="127"/>
      <c r="N39" s="127"/>
      <c r="O39" s="127"/>
      <c r="P39" s="127"/>
    </row>
    <row r="40" spans="1:16" ht="60" x14ac:dyDescent="0.25">
      <c r="A40" s="164">
        <v>21</v>
      </c>
      <c r="B40" s="154" t="s">
        <v>103</v>
      </c>
      <c r="C40" s="144" t="s">
        <v>86</v>
      </c>
      <c r="D40" s="147" t="s">
        <v>87</v>
      </c>
      <c r="E40" s="112" t="s">
        <v>8</v>
      </c>
      <c r="F40" s="20">
        <v>51.6</v>
      </c>
      <c r="G40" s="13">
        <v>11.82</v>
      </c>
      <c r="H40" s="13">
        <f t="shared" si="2"/>
        <v>14.475954000000002</v>
      </c>
      <c r="I40" s="13">
        <f t="shared" si="3"/>
        <v>746.95922640000015</v>
      </c>
      <c r="J40" s="126"/>
      <c r="K40" s="127"/>
      <c r="L40" s="127"/>
      <c r="M40" s="127"/>
      <c r="N40" s="127"/>
      <c r="O40" s="127"/>
      <c r="P40" s="127"/>
    </row>
    <row r="41" spans="1:16" ht="45" x14ac:dyDescent="0.25">
      <c r="A41" s="164">
        <v>22</v>
      </c>
      <c r="B41" s="154" t="s">
        <v>116</v>
      </c>
      <c r="C41" s="144" t="s">
        <v>85</v>
      </c>
      <c r="D41" s="143" t="s">
        <v>84</v>
      </c>
      <c r="E41" s="112" t="s">
        <v>8</v>
      </c>
      <c r="F41" s="20">
        <v>51.6</v>
      </c>
      <c r="G41" s="13">
        <v>10.49</v>
      </c>
      <c r="H41" s="13">
        <f t="shared" si="2"/>
        <v>12.847103000000001</v>
      </c>
      <c r="I41" s="13">
        <f t="shared" si="3"/>
        <v>662.9105148000001</v>
      </c>
      <c r="J41" s="126"/>
      <c r="K41" s="127"/>
      <c r="L41" s="127"/>
      <c r="M41" s="127"/>
      <c r="N41" s="127"/>
      <c r="O41" s="127"/>
      <c r="P41" s="127"/>
    </row>
    <row r="42" spans="1:16" ht="60" x14ac:dyDescent="0.25">
      <c r="A42" s="164">
        <v>23</v>
      </c>
      <c r="B42" s="154" t="s">
        <v>116</v>
      </c>
      <c r="C42" s="144" t="s">
        <v>86</v>
      </c>
      <c r="D42" s="147" t="s">
        <v>87</v>
      </c>
      <c r="E42" s="112" t="s">
        <v>8</v>
      </c>
      <c r="F42" s="20">
        <v>51.6</v>
      </c>
      <c r="G42" s="13">
        <v>11.82</v>
      </c>
      <c r="H42" s="13">
        <f t="shared" si="2"/>
        <v>14.475954000000002</v>
      </c>
      <c r="I42" s="13">
        <f t="shared" si="3"/>
        <v>746.95922640000015</v>
      </c>
      <c r="J42" s="126"/>
      <c r="K42" s="127"/>
      <c r="L42" s="127"/>
      <c r="M42" s="127"/>
      <c r="N42" s="127"/>
      <c r="O42" s="127"/>
      <c r="P42" s="127"/>
    </row>
    <row r="43" spans="1:16" ht="45" x14ac:dyDescent="0.25">
      <c r="A43" s="164">
        <v>24</v>
      </c>
      <c r="B43" s="154" t="s">
        <v>164</v>
      </c>
      <c r="C43" s="144" t="s">
        <v>85</v>
      </c>
      <c r="D43" s="143" t="s">
        <v>84</v>
      </c>
      <c r="E43" s="112" t="s">
        <v>8</v>
      </c>
      <c r="F43" s="20">
        <v>6.48</v>
      </c>
      <c r="G43" s="13">
        <v>10.49</v>
      </c>
      <c r="H43" s="13">
        <f t="shared" si="2"/>
        <v>12.847103000000001</v>
      </c>
      <c r="I43" s="13">
        <f t="shared" si="3"/>
        <v>83.249227440000013</v>
      </c>
      <c r="J43" s="126"/>
      <c r="K43" s="127"/>
      <c r="L43" s="127"/>
      <c r="M43" s="127"/>
      <c r="N43" s="127"/>
      <c r="O43" s="127"/>
      <c r="P43" s="127"/>
    </row>
    <row r="44" spans="1:16" ht="60" x14ac:dyDescent="0.25">
      <c r="A44" s="164">
        <v>25</v>
      </c>
      <c r="B44" s="154" t="s">
        <v>164</v>
      </c>
      <c r="C44" s="144" t="s">
        <v>86</v>
      </c>
      <c r="D44" s="147" t="s">
        <v>87</v>
      </c>
      <c r="E44" s="112" t="s">
        <v>8</v>
      </c>
      <c r="F44" s="20">
        <v>6.48</v>
      </c>
      <c r="G44" s="13">
        <v>11.82</v>
      </c>
      <c r="H44" s="13">
        <f t="shared" si="2"/>
        <v>14.475954000000002</v>
      </c>
      <c r="I44" s="13">
        <f t="shared" si="3"/>
        <v>93.804181920000019</v>
      </c>
      <c r="J44" s="126"/>
      <c r="K44" s="127"/>
      <c r="L44" s="127"/>
      <c r="M44" s="127"/>
      <c r="N44" s="127"/>
      <c r="O44" s="127"/>
      <c r="P44" s="127"/>
    </row>
    <row r="45" spans="1:16" ht="45" x14ac:dyDescent="0.25">
      <c r="A45" s="164">
        <v>26</v>
      </c>
      <c r="B45" s="163" t="s">
        <v>143</v>
      </c>
      <c r="C45" s="144" t="s">
        <v>88</v>
      </c>
      <c r="D45" s="147" t="s">
        <v>90</v>
      </c>
      <c r="E45" s="112" t="s">
        <v>89</v>
      </c>
      <c r="F45" s="20">
        <f>2*(2*0.28*3.9)-(0.8*2.1)-(1.6*1.5)</f>
        <v>0.28799999999999981</v>
      </c>
      <c r="G45" s="13">
        <v>88.74</v>
      </c>
      <c r="H45" s="13">
        <f t="shared" si="2"/>
        <v>108.679878</v>
      </c>
      <c r="I45" s="13">
        <f t="shared" si="3"/>
        <v>31.299804863999981</v>
      </c>
      <c r="J45" s="126"/>
      <c r="K45" s="127"/>
      <c r="L45" s="127"/>
      <c r="M45" s="127"/>
      <c r="N45" s="127"/>
      <c r="O45" s="127"/>
      <c r="P45" s="127"/>
    </row>
    <row r="46" spans="1:16" ht="30" x14ac:dyDescent="0.25">
      <c r="A46" s="164">
        <v>27</v>
      </c>
      <c r="B46" s="154" t="s">
        <v>144</v>
      </c>
      <c r="C46" s="144" t="s">
        <v>91</v>
      </c>
      <c r="D46" s="147" t="s">
        <v>92</v>
      </c>
      <c r="E46" s="112" t="s">
        <v>8</v>
      </c>
      <c r="F46" s="20">
        <f>0.8*2.1</f>
        <v>1.6800000000000002</v>
      </c>
      <c r="G46" s="13">
        <v>12.56</v>
      </c>
      <c r="H46" s="13">
        <f t="shared" si="2"/>
        <v>15.382232</v>
      </c>
      <c r="I46" s="13">
        <f t="shared" si="3"/>
        <v>25.842149760000002</v>
      </c>
      <c r="J46" s="126"/>
      <c r="K46" s="127"/>
      <c r="L46" s="127"/>
      <c r="M46" s="127"/>
      <c r="N46" s="127"/>
      <c r="O46" s="127"/>
      <c r="P46" s="127"/>
    </row>
    <row r="47" spans="1:16" ht="30" x14ac:dyDescent="0.25">
      <c r="A47" s="164">
        <v>28</v>
      </c>
      <c r="B47" s="154" t="s">
        <v>145</v>
      </c>
      <c r="C47" s="144" t="s">
        <v>91</v>
      </c>
      <c r="D47" s="147" t="s">
        <v>92</v>
      </c>
      <c r="E47" s="112" t="s">
        <v>8</v>
      </c>
      <c r="F47" s="20">
        <f>2.5*1.5</f>
        <v>3.75</v>
      </c>
      <c r="G47" s="13">
        <v>12.56</v>
      </c>
      <c r="H47" s="13">
        <f t="shared" si="2"/>
        <v>15.382232</v>
      </c>
      <c r="I47" s="13">
        <f t="shared" si="3"/>
        <v>57.683370000000004</v>
      </c>
      <c r="J47" s="126"/>
      <c r="K47" s="127"/>
      <c r="L47" s="127"/>
      <c r="M47" s="127"/>
      <c r="N47" s="127"/>
      <c r="O47" s="127"/>
      <c r="P47" s="127"/>
    </row>
    <row r="48" spans="1:16" x14ac:dyDescent="0.25">
      <c r="A48" s="164">
        <v>29</v>
      </c>
      <c r="B48" s="154" t="s">
        <v>153</v>
      </c>
      <c r="C48" s="144" t="s">
        <v>152</v>
      </c>
      <c r="D48" s="141" t="s">
        <v>151</v>
      </c>
      <c r="E48" s="112" t="s">
        <v>89</v>
      </c>
      <c r="F48" s="20">
        <f>10.64*1.6*0.05</f>
        <v>0.85120000000000007</v>
      </c>
      <c r="G48" s="13">
        <v>151.85</v>
      </c>
      <c r="H48" s="13">
        <f t="shared" si="2"/>
        <v>185.97069499999998</v>
      </c>
      <c r="I48" s="13">
        <f t="shared" si="3"/>
        <v>158.298255584</v>
      </c>
      <c r="J48" s="126"/>
      <c r="K48" s="127"/>
      <c r="L48" s="127"/>
      <c r="M48" s="127"/>
      <c r="N48" s="127"/>
      <c r="O48" s="127"/>
      <c r="P48" s="127"/>
    </row>
    <row r="49" spans="1:16" x14ac:dyDescent="0.25">
      <c r="A49" s="164">
        <v>30</v>
      </c>
      <c r="B49" s="211" t="s">
        <v>81</v>
      </c>
      <c r="C49" s="211"/>
      <c r="D49" s="211"/>
      <c r="E49" s="211"/>
      <c r="F49" s="211"/>
      <c r="G49" s="211"/>
      <c r="H49" s="211"/>
      <c r="I49" s="30">
        <f>SUM(I50:I131)</f>
        <v>144682.99024896999</v>
      </c>
      <c r="J49" s="233"/>
      <c r="K49" s="234"/>
      <c r="L49" s="234"/>
      <c r="M49" s="234"/>
      <c r="N49" s="234"/>
      <c r="O49" s="234"/>
      <c r="P49" s="235"/>
    </row>
    <row r="50" spans="1:16" ht="75" x14ac:dyDescent="0.25">
      <c r="A50" s="164">
        <v>31</v>
      </c>
      <c r="B50" s="209" t="s">
        <v>104</v>
      </c>
      <c r="C50" s="112" t="s">
        <v>150</v>
      </c>
      <c r="D50" s="163" t="s">
        <v>147</v>
      </c>
      <c r="E50" s="112" t="s">
        <v>146</v>
      </c>
      <c r="F50" s="112">
        <v>6</v>
      </c>
      <c r="G50" s="112">
        <v>12</v>
      </c>
      <c r="H50" s="13">
        <f t="shared" ref="H50:H51" si="4">G50+G50*B$18</f>
        <v>14.696400000000001</v>
      </c>
      <c r="I50" s="13">
        <f t="shared" ref="I50:I113" si="5">H50*F50</f>
        <v>88.178400000000011</v>
      </c>
      <c r="J50" s="126"/>
      <c r="K50" s="127"/>
      <c r="L50" s="127"/>
      <c r="M50" s="127"/>
      <c r="N50" s="127"/>
      <c r="O50" s="127"/>
      <c r="P50" s="127"/>
    </row>
    <row r="51" spans="1:16" ht="15" customHeight="1" x14ac:dyDescent="0.25">
      <c r="A51" s="164">
        <v>32</v>
      </c>
      <c r="B51" s="209"/>
      <c r="C51" s="112" t="s">
        <v>149</v>
      </c>
      <c r="D51" s="163" t="s">
        <v>148</v>
      </c>
      <c r="E51" s="112" t="s">
        <v>19</v>
      </c>
      <c r="F51" s="112">
        <v>6</v>
      </c>
      <c r="G51" s="142">
        <v>6.52</v>
      </c>
      <c r="H51" s="13">
        <f t="shared" si="4"/>
        <v>7.9850439999999994</v>
      </c>
      <c r="I51" s="13">
        <f t="shared" si="5"/>
        <v>47.910263999999998</v>
      </c>
      <c r="J51" s="126"/>
      <c r="K51" s="127"/>
      <c r="L51" s="127"/>
      <c r="M51" s="127"/>
      <c r="N51" s="127"/>
      <c r="O51" s="127"/>
      <c r="P51" s="127"/>
    </row>
    <row r="52" spans="1:16" ht="60" x14ac:dyDescent="0.25">
      <c r="A52" s="164">
        <v>33</v>
      </c>
      <c r="B52" s="210" t="s">
        <v>111</v>
      </c>
      <c r="C52" s="160" t="s">
        <v>18</v>
      </c>
      <c r="D52" s="163" t="s">
        <v>9</v>
      </c>
      <c r="E52" s="112" t="s">
        <v>8</v>
      </c>
      <c r="F52" s="20">
        <f>46.38</f>
        <v>46.38</v>
      </c>
      <c r="G52" s="13">
        <v>38.659999999999997</v>
      </c>
      <c r="H52" s="13">
        <f>G52+G52*B$18</f>
        <v>47.346902</v>
      </c>
      <c r="I52" s="13">
        <f t="shared" si="5"/>
        <v>2195.9493147600001</v>
      </c>
      <c r="J52" s="126"/>
      <c r="K52" s="127"/>
      <c r="L52" s="127"/>
      <c r="M52" s="127"/>
      <c r="N52" s="127"/>
      <c r="O52" s="127"/>
      <c r="P52" s="127"/>
    </row>
    <row r="53" spans="1:16" ht="60" x14ac:dyDescent="0.25">
      <c r="A53" s="164">
        <v>34</v>
      </c>
      <c r="B53" s="210"/>
      <c r="C53" s="160" t="s">
        <v>12</v>
      </c>
      <c r="D53" s="163" t="s">
        <v>14</v>
      </c>
      <c r="E53" s="112" t="s">
        <v>8</v>
      </c>
      <c r="F53" s="20">
        <f>2*F52</f>
        <v>92.76</v>
      </c>
      <c r="G53" s="13">
        <v>5.51</v>
      </c>
      <c r="H53" s="13">
        <f t="shared" ref="H53:H55" si="6">G53+G53*B$18</f>
        <v>6.7480969999999996</v>
      </c>
      <c r="I53" s="13">
        <f t="shared" si="5"/>
        <v>625.95347772000002</v>
      </c>
      <c r="J53" s="126"/>
      <c r="K53" s="127"/>
      <c r="L53" s="127"/>
      <c r="M53" s="127"/>
      <c r="N53" s="127"/>
      <c r="O53" s="127"/>
      <c r="P53" s="127"/>
    </row>
    <row r="54" spans="1:16" ht="45" x14ac:dyDescent="0.25">
      <c r="A54" s="164">
        <v>35</v>
      </c>
      <c r="B54" s="210"/>
      <c r="C54" s="160" t="s">
        <v>13</v>
      </c>
      <c r="D54" s="163" t="s">
        <v>15</v>
      </c>
      <c r="E54" s="112" t="s">
        <v>8</v>
      </c>
      <c r="F54" s="20">
        <f>F53</f>
        <v>92.76</v>
      </c>
      <c r="G54" s="13">
        <v>20.43</v>
      </c>
      <c r="H54" s="13">
        <f t="shared" si="6"/>
        <v>25.020620999999998</v>
      </c>
      <c r="I54" s="13">
        <f t="shared" si="5"/>
        <v>2320.91280396</v>
      </c>
      <c r="J54" s="126"/>
      <c r="K54" s="127"/>
      <c r="L54" s="127"/>
      <c r="M54" s="127"/>
      <c r="N54" s="127"/>
      <c r="O54" s="127"/>
      <c r="P54" s="127"/>
    </row>
    <row r="55" spans="1:16" ht="45" x14ac:dyDescent="0.25">
      <c r="A55" s="164">
        <v>36</v>
      </c>
      <c r="B55" s="210"/>
      <c r="C55" s="160" t="s">
        <v>17</v>
      </c>
      <c r="D55" s="163" t="s">
        <v>16</v>
      </c>
      <c r="E55" s="112" t="s">
        <v>8</v>
      </c>
      <c r="F55" s="20">
        <f>F54</f>
        <v>92.76</v>
      </c>
      <c r="G55" s="13">
        <v>19.2</v>
      </c>
      <c r="H55" s="13">
        <f t="shared" si="6"/>
        <v>23.514240000000001</v>
      </c>
      <c r="I55" s="13">
        <f t="shared" si="5"/>
        <v>2181.1809024000004</v>
      </c>
      <c r="J55" s="126"/>
      <c r="K55" s="127"/>
      <c r="L55" s="127"/>
      <c r="M55" s="127"/>
      <c r="N55" s="127"/>
      <c r="O55" s="127"/>
      <c r="P55" s="127"/>
    </row>
    <row r="56" spans="1:16" ht="60" x14ac:dyDescent="0.25">
      <c r="A56" s="164">
        <v>37</v>
      </c>
      <c r="B56" s="210" t="s">
        <v>111</v>
      </c>
      <c r="C56" s="160" t="s">
        <v>18</v>
      </c>
      <c r="D56" s="163" t="s">
        <v>9</v>
      </c>
      <c r="E56" s="112" t="s">
        <v>8</v>
      </c>
      <c r="F56" s="20">
        <f>46.98-13.53</f>
        <v>33.449999999999996</v>
      </c>
      <c r="G56" s="13">
        <v>38.659999999999997</v>
      </c>
      <c r="H56" s="13">
        <f>G56+G56*B$18</f>
        <v>47.346902</v>
      </c>
      <c r="I56" s="13">
        <f t="shared" si="5"/>
        <v>1583.7538718999997</v>
      </c>
      <c r="J56" s="126"/>
      <c r="K56" s="127"/>
      <c r="L56" s="127"/>
      <c r="M56" s="127"/>
      <c r="N56" s="127"/>
      <c r="O56" s="127"/>
      <c r="P56" s="127"/>
    </row>
    <row r="57" spans="1:16" ht="60" x14ac:dyDescent="0.25">
      <c r="A57" s="164">
        <v>38</v>
      </c>
      <c r="B57" s="210"/>
      <c r="C57" s="160" t="s">
        <v>12</v>
      </c>
      <c r="D57" s="163" t="s">
        <v>14</v>
      </c>
      <c r="E57" s="112" t="s">
        <v>8</v>
      </c>
      <c r="F57" s="20">
        <f>2*F56</f>
        <v>66.899999999999991</v>
      </c>
      <c r="G57" s="13">
        <v>5.51</v>
      </c>
      <c r="H57" s="13">
        <f t="shared" ref="H57:H59" si="7">G57+G57*B$18</f>
        <v>6.7480969999999996</v>
      </c>
      <c r="I57" s="13">
        <f t="shared" si="5"/>
        <v>451.44768929999992</v>
      </c>
      <c r="J57" s="126"/>
      <c r="K57" s="127"/>
      <c r="L57" s="127"/>
      <c r="M57" s="127"/>
      <c r="N57" s="127"/>
      <c r="O57" s="127"/>
      <c r="P57" s="127"/>
    </row>
    <row r="58" spans="1:16" ht="45" x14ac:dyDescent="0.25">
      <c r="A58" s="164">
        <v>39</v>
      </c>
      <c r="B58" s="210"/>
      <c r="C58" s="160" t="s">
        <v>13</v>
      </c>
      <c r="D58" s="163" t="s">
        <v>15</v>
      </c>
      <c r="E58" s="112" t="s">
        <v>8</v>
      </c>
      <c r="F58" s="20">
        <f>F57</f>
        <v>66.899999999999991</v>
      </c>
      <c r="G58" s="13">
        <v>20.43</v>
      </c>
      <c r="H58" s="13">
        <f t="shared" si="7"/>
        <v>25.020620999999998</v>
      </c>
      <c r="I58" s="13">
        <f t="shared" si="5"/>
        <v>1673.8795448999997</v>
      </c>
      <c r="J58" s="126"/>
      <c r="K58" s="127"/>
      <c r="L58" s="127"/>
      <c r="M58" s="127"/>
      <c r="N58" s="127"/>
      <c r="O58" s="127"/>
      <c r="P58" s="127"/>
    </row>
    <row r="59" spans="1:16" ht="45" x14ac:dyDescent="0.25">
      <c r="A59" s="164">
        <v>40</v>
      </c>
      <c r="B59" s="210"/>
      <c r="C59" s="160" t="s">
        <v>17</v>
      </c>
      <c r="D59" s="163" t="s">
        <v>16</v>
      </c>
      <c r="E59" s="112" t="s">
        <v>8</v>
      </c>
      <c r="F59" s="20">
        <f>F58</f>
        <v>66.899999999999991</v>
      </c>
      <c r="G59" s="13">
        <v>19.2</v>
      </c>
      <c r="H59" s="13">
        <f t="shared" si="7"/>
        <v>23.514240000000001</v>
      </c>
      <c r="I59" s="13">
        <f t="shared" si="5"/>
        <v>1573.1026559999998</v>
      </c>
      <c r="J59" s="126"/>
      <c r="K59" s="127"/>
      <c r="L59" s="127"/>
      <c r="M59" s="127"/>
      <c r="N59" s="127"/>
      <c r="O59" s="127"/>
      <c r="P59" s="127"/>
    </row>
    <row r="60" spans="1:16" ht="60" x14ac:dyDescent="0.25">
      <c r="A60" s="164">
        <v>41</v>
      </c>
      <c r="B60" s="210" t="s">
        <v>111</v>
      </c>
      <c r="C60" s="160" t="s">
        <v>18</v>
      </c>
      <c r="D60" s="163" t="s">
        <v>9</v>
      </c>
      <c r="E60" s="112" t="s">
        <v>8</v>
      </c>
      <c r="F60" s="20">
        <f>29.76-3.36</f>
        <v>26.400000000000002</v>
      </c>
      <c r="G60" s="13">
        <v>38.659999999999997</v>
      </c>
      <c r="H60" s="13">
        <f>G60+G60*B$18</f>
        <v>47.346902</v>
      </c>
      <c r="I60" s="13">
        <f t="shared" si="5"/>
        <v>1249.9582128000002</v>
      </c>
      <c r="J60" s="126"/>
      <c r="K60" s="127"/>
      <c r="L60" s="127"/>
      <c r="M60" s="127"/>
      <c r="N60" s="127"/>
      <c r="O60" s="127"/>
      <c r="P60" s="127"/>
    </row>
    <row r="61" spans="1:16" ht="60" x14ac:dyDescent="0.25">
      <c r="A61" s="164">
        <v>42</v>
      </c>
      <c r="B61" s="210"/>
      <c r="C61" s="160" t="s">
        <v>12</v>
      </c>
      <c r="D61" s="163" t="s">
        <v>14</v>
      </c>
      <c r="E61" s="112" t="s">
        <v>8</v>
      </c>
      <c r="F61" s="20">
        <f>2*F60</f>
        <v>52.800000000000004</v>
      </c>
      <c r="G61" s="13">
        <v>5.51</v>
      </c>
      <c r="H61" s="13">
        <f t="shared" ref="H61:H63" si="8">G61+G61*B$18</f>
        <v>6.7480969999999996</v>
      </c>
      <c r="I61" s="13">
        <f t="shared" si="5"/>
        <v>356.29952159999999</v>
      </c>
      <c r="J61" s="126"/>
      <c r="K61" s="127"/>
      <c r="L61" s="127"/>
      <c r="M61" s="127"/>
      <c r="N61" s="127"/>
      <c r="O61" s="127"/>
      <c r="P61" s="127"/>
    </row>
    <row r="62" spans="1:16" ht="45" x14ac:dyDescent="0.25">
      <c r="A62" s="164">
        <v>43</v>
      </c>
      <c r="B62" s="210"/>
      <c r="C62" s="160" t="s">
        <v>13</v>
      </c>
      <c r="D62" s="163" t="s">
        <v>15</v>
      </c>
      <c r="E62" s="112" t="s">
        <v>8</v>
      </c>
      <c r="F62" s="20">
        <f>F61</f>
        <v>52.800000000000004</v>
      </c>
      <c r="G62" s="13">
        <v>20.43</v>
      </c>
      <c r="H62" s="13">
        <f t="shared" si="8"/>
        <v>25.020620999999998</v>
      </c>
      <c r="I62" s="13">
        <f t="shared" si="5"/>
        <v>1321.0887888</v>
      </c>
      <c r="J62" s="126"/>
      <c r="K62" s="127"/>
      <c r="L62" s="127"/>
      <c r="M62" s="127"/>
      <c r="N62" s="127"/>
      <c r="O62" s="127"/>
      <c r="P62" s="127"/>
    </row>
    <row r="63" spans="1:16" ht="45" x14ac:dyDescent="0.25">
      <c r="A63" s="164">
        <v>44</v>
      </c>
      <c r="B63" s="210"/>
      <c r="C63" s="160" t="s">
        <v>17</v>
      </c>
      <c r="D63" s="163" t="s">
        <v>16</v>
      </c>
      <c r="E63" s="112" t="s">
        <v>8</v>
      </c>
      <c r="F63" s="20">
        <f>F62</f>
        <v>52.800000000000004</v>
      </c>
      <c r="G63" s="13">
        <v>19.2</v>
      </c>
      <c r="H63" s="13">
        <f t="shared" si="8"/>
        <v>23.514240000000001</v>
      </c>
      <c r="I63" s="13">
        <f t="shared" si="5"/>
        <v>1241.5518720000002</v>
      </c>
      <c r="J63" s="128"/>
      <c r="K63" s="127"/>
      <c r="L63" s="127"/>
      <c r="M63" s="127"/>
      <c r="N63" s="127"/>
      <c r="O63" s="127"/>
      <c r="P63" s="127"/>
    </row>
    <row r="64" spans="1:16" ht="60" x14ac:dyDescent="0.25">
      <c r="A64" s="164">
        <v>45</v>
      </c>
      <c r="B64" s="210" t="s">
        <v>111</v>
      </c>
      <c r="C64" s="160" t="s">
        <v>18</v>
      </c>
      <c r="D64" s="163" t="s">
        <v>9</v>
      </c>
      <c r="E64" s="112" t="s">
        <v>8</v>
      </c>
      <c r="F64" s="20">
        <f>43.24-4.08-6.18</f>
        <v>32.980000000000004</v>
      </c>
      <c r="G64" s="13">
        <v>38.659999999999997</v>
      </c>
      <c r="H64" s="13">
        <f>G64+G64*B$18</f>
        <v>47.346902</v>
      </c>
      <c r="I64" s="13">
        <f t="shared" si="5"/>
        <v>1561.5008279600002</v>
      </c>
      <c r="J64" s="126"/>
      <c r="K64" s="127"/>
      <c r="L64" s="127"/>
      <c r="M64" s="127"/>
      <c r="N64" s="127"/>
      <c r="O64" s="127"/>
      <c r="P64" s="127"/>
    </row>
    <row r="65" spans="1:16" ht="14.45" customHeight="1" x14ac:dyDescent="0.25">
      <c r="A65" s="164">
        <v>46</v>
      </c>
      <c r="B65" s="210"/>
      <c r="C65" s="160" t="s">
        <v>12</v>
      </c>
      <c r="D65" s="163" t="s">
        <v>14</v>
      </c>
      <c r="E65" s="112" t="s">
        <v>8</v>
      </c>
      <c r="F65" s="20">
        <f>2*F64</f>
        <v>65.960000000000008</v>
      </c>
      <c r="G65" s="13">
        <v>5.51</v>
      </c>
      <c r="H65" s="13">
        <f t="shared" ref="H65:H67" si="9">G65+G65*B$18</f>
        <v>6.7480969999999996</v>
      </c>
      <c r="I65" s="13">
        <f t="shared" si="5"/>
        <v>445.10447812000001</v>
      </c>
      <c r="J65" s="126"/>
      <c r="K65" s="127"/>
      <c r="L65" s="127"/>
      <c r="M65" s="127"/>
      <c r="N65" s="127"/>
      <c r="O65" s="127"/>
      <c r="P65" s="127"/>
    </row>
    <row r="66" spans="1:16" ht="14.45" customHeight="1" x14ac:dyDescent="0.25">
      <c r="A66" s="164">
        <v>47</v>
      </c>
      <c r="B66" s="210"/>
      <c r="C66" s="160" t="s">
        <v>13</v>
      </c>
      <c r="D66" s="163" t="s">
        <v>15</v>
      </c>
      <c r="E66" s="112" t="s">
        <v>8</v>
      </c>
      <c r="F66" s="20">
        <f>F65</f>
        <v>65.960000000000008</v>
      </c>
      <c r="G66" s="13">
        <v>20.43</v>
      </c>
      <c r="H66" s="13">
        <f t="shared" si="9"/>
        <v>25.020620999999998</v>
      </c>
      <c r="I66" s="13">
        <f t="shared" si="5"/>
        <v>1650.3601611600002</v>
      </c>
      <c r="J66" s="126"/>
      <c r="K66" s="127"/>
      <c r="L66" s="127"/>
      <c r="M66" s="127"/>
      <c r="N66" s="127"/>
      <c r="O66" s="127"/>
      <c r="P66" s="127"/>
    </row>
    <row r="67" spans="1:16" ht="14.45" customHeight="1" x14ac:dyDescent="0.25">
      <c r="A67" s="164">
        <v>48</v>
      </c>
      <c r="B67" s="210"/>
      <c r="C67" s="160" t="s">
        <v>17</v>
      </c>
      <c r="D67" s="163" t="s">
        <v>16</v>
      </c>
      <c r="E67" s="112" t="s">
        <v>8</v>
      </c>
      <c r="F67" s="20">
        <f>F66</f>
        <v>65.960000000000008</v>
      </c>
      <c r="G67" s="13">
        <v>19.2</v>
      </c>
      <c r="H67" s="13">
        <f t="shared" si="9"/>
        <v>23.514240000000001</v>
      </c>
      <c r="I67" s="13">
        <f t="shared" si="5"/>
        <v>1550.9992704000003</v>
      </c>
      <c r="J67" s="126"/>
      <c r="K67" s="127"/>
      <c r="L67" s="127"/>
      <c r="M67" s="127"/>
      <c r="N67" s="127"/>
      <c r="O67" s="127"/>
      <c r="P67" s="127"/>
    </row>
    <row r="68" spans="1:16" ht="60" x14ac:dyDescent="0.25">
      <c r="A68" s="164">
        <v>49</v>
      </c>
      <c r="B68" s="210" t="s">
        <v>111</v>
      </c>
      <c r="C68" s="160" t="s">
        <v>18</v>
      </c>
      <c r="D68" s="163" t="s">
        <v>9</v>
      </c>
      <c r="E68" s="112" t="s">
        <v>8</v>
      </c>
      <c r="F68" s="20">
        <f>51.24-6.18</f>
        <v>45.06</v>
      </c>
      <c r="G68" s="13">
        <v>38.659999999999997</v>
      </c>
      <c r="H68" s="13">
        <f>G68+G68*B$18</f>
        <v>47.346902</v>
      </c>
      <c r="I68" s="13">
        <f t="shared" si="5"/>
        <v>2133.45140412</v>
      </c>
      <c r="J68" s="126"/>
      <c r="K68" s="127"/>
      <c r="L68" s="127"/>
      <c r="M68" s="127"/>
      <c r="N68" s="127"/>
      <c r="O68" s="127"/>
      <c r="P68" s="127"/>
    </row>
    <row r="69" spans="1:16" ht="60" x14ac:dyDescent="0.25">
      <c r="A69" s="164">
        <v>50</v>
      </c>
      <c r="B69" s="210"/>
      <c r="C69" s="160" t="s">
        <v>12</v>
      </c>
      <c r="D69" s="163" t="s">
        <v>14</v>
      </c>
      <c r="E69" s="112" t="s">
        <v>8</v>
      </c>
      <c r="F69" s="20">
        <f>2*F68</f>
        <v>90.12</v>
      </c>
      <c r="G69" s="13">
        <v>5.51</v>
      </c>
      <c r="H69" s="13">
        <f t="shared" ref="H69:H71" si="10">G69+G69*B$18</f>
        <v>6.7480969999999996</v>
      </c>
      <c r="I69" s="13">
        <f t="shared" si="5"/>
        <v>608.13850163999996</v>
      </c>
      <c r="J69" s="126"/>
      <c r="K69" s="127"/>
      <c r="L69" s="127"/>
      <c r="M69" s="127"/>
      <c r="N69" s="127"/>
      <c r="O69" s="127"/>
      <c r="P69" s="127"/>
    </row>
    <row r="70" spans="1:16" ht="45" x14ac:dyDescent="0.25">
      <c r="A70" s="164">
        <v>51</v>
      </c>
      <c r="B70" s="210"/>
      <c r="C70" s="160" t="s">
        <v>13</v>
      </c>
      <c r="D70" s="163" t="s">
        <v>15</v>
      </c>
      <c r="E70" s="112" t="s">
        <v>8</v>
      </c>
      <c r="F70" s="20">
        <f>F69</f>
        <v>90.12</v>
      </c>
      <c r="G70" s="13">
        <v>20.43</v>
      </c>
      <c r="H70" s="13">
        <f t="shared" si="10"/>
        <v>25.020620999999998</v>
      </c>
      <c r="I70" s="13">
        <f t="shared" si="5"/>
        <v>2254.8583645200001</v>
      </c>
      <c r="J70" s="126"/>
      <c r="K70" s="127"/>
      <c r="L70" s="127"/>
      <c r="M70" s="127"/>
      <c r="N70" s="127"/>
      <c r="O70" s="127"/>
      <c r="P70" s="127"/>
    </row>
    <row r="71" spans="1:16" ht="45" x14ac:dyDescent="0.25">
      <c r="A71" s="164">
        <v>52</v>
      </c>
      <c r="B71" s="210"/>
      <c r="C71" s="160" t="s">
        <v>17</v>
      </c>
      <c r="D71" s="163" t="s">
        <v>16</v>
      </c>
      <c r="E71" s="112" t="s">
        <v>8</v>
      </c>
      <c r="F71" s="20">
        <f>F70</f>
        <v>90.12</v>
      </c>
      <c r="G71" s="13">
        <v>19.2</v>
      </c>
      <c r="H71" s="13">
        <f t="shared" si="10"/>
        <v>23.514240000000001</v>
      </c>
      <c r="I71" s="13">
        <f t="shared" si="5"/>
        <v>2119.1033088000004</v>
      </c>
      <c r="J71" s="126"/>
      <c r="K71" s="127"/>
      <c r="L71" s="127"/>
      <c r="M71" s="127"/>
      <c r="N71" s="127"/>
      <c r="O71" s="127"/>
      <c r="P71" s="127"/>
    </row>
    <row r="72" spans="1:16" ht="60" x14ac:dyDescent="0.25">
      <c r="A72" s="164">
        <v>53</v>
      </c>
      <c r="B72" s="210" t="s">
        <v>111</v>
      </c>
      <c r="C72" s="160" t="s">
        <v>18</v>
      </c>
      <c r="D72" s="163" t="s">
        <v>9</v>
      </c>
      <c r="E72" s="112" t="s">
        <v>8</v>
      </c>
      <c r="F72" s="20">
        <f>26.76</f>
        <v>26.76</v>
      </c>
      <c r="G72" s="13">
        <v>38.659999999999997</v>
      </c>
      <c r="H72" s="13">
        <f>G72+G72*B$18</f>
        <v>47.346902</v>
      </c>
      <c r="I72" s="13">
        <f t="shared" si="5"/>
        <v>1267.00309752</v>
      </c>
      <c r="J72" s="126"/>
      <c r="K72" s="127"/>
      <c r="L72" s="127"/>
      <c r="M72" s="127"/>
      <c r="N72" s="127"/>
      <c r="O72" s="127"/>
      <c r="P72" s="127"/>
    </row>
    <row r="73" spans="1:16" ht="60" x14ac:dyDescent="0.25">
      <c r="A73" s="164">
        <v>54</v>
      </c>
      <c r="B73" s="210"/>
      <c r="C73" s="160" t="s">
        <v>12</v>
      </c>
      <c r="D73" s="163" t="s">
        <v>14</v>
      </c>
      <c r="E73" s="112" t="s">
        <v>8</v>
      </c>
      <c r="F73" s="20">
        <f>2*F72</f>
        <v>53.52</v>
      </c>
      <c r="G73" s="13">
        <v>5.51</v>
      </c>
      <c r="H73" s="13">
        <f t="shared" ref="H73:H75" si="11">G73+G73*B$18</f>
        <v>6.7480969999999996</v>
      </c>
      <c r="I73" s="13">
        <f t="shared" si="5"/>
        <v>361.15815143999998</v>
      </c>
      <c r="J73" s="126"/>
      <c r="K73" s="127"/>
      <c r="L73" s="127"/>
      <c r="M73" s="127"/>
      <c r="N73" s="127"/>
      <c r="O73" s="127"/>
      <c r="P73" s="127"/>
    </row>
    <row r="74" spans="1:16" ht="45" x14ac:dyDescent="0.25">
      <c r="A74" s="164">
        <v>55</v>
      </c>
      <c r="B74" s="210"/>
      <c r="C74" s="160" t="s">
        <v>13</v>
      </c>
      <c r="D74" s="163" t="s">
        <v>15</v>
      </c>
      <c r="E74" s="112" t="s">
        <v>8</v>
      </c>
      <c r="F74" s="20">
        <f>F73</f>
        <v>53.52</v>
      </c>
      <c r="G74" s="13">
        <v>20.43</v>
      </c>
      <c r="H74" s="13">
        <f t="shared" si="11"/>
        <v>25.020620999999998</v>
      </c>
      <c r="I74" s="13">
        <f t="shared" si="5"/>
        <v>1339.10363592</v>
      </c>
      <c r="J74" s="126"/>
      <c r="K74" s="127"/>
      <c r="L74" s="127"/>
      <c r="M74" s="127"/>
      <c r="N74" s="127"/>
      <c r="O74" s="127"/>
      <c r="P74" s="127"/>
    </row>
    <row r="75" spans="1:16" ht="45" x14ac:dyDescent="0.25">
      <c r="A75" s="164">
        <v>56</v>
      </c>
      <c r="B75" s="210"/>
      <c r="C75" s="160" t="s">
        <v>17</v>
      </c>
      <c r="D75" s="163" t="s">
        <v>16</v>
      </c>
      <c r="E75" s="112" t="s">
        <v>8</v>
      </c>
      <c r="F75" s="20">
        <f>F74</f>
        <v>53.52</v>
      </c>
      <c r="G75" s="13">
        <v>19.2</v>
      </c>
      <c r="H75" s="13">
        <f t="shared" si="11"/>
        <v>23.514240000000001</v>
      </c>
      <c r="I75" s="13">
        <f t="shared" si="5"/>
        <v>1258.4821248000001</v>
      </c>
      <c r="J75" s="126"/>
      <c r="K75" s="127"/>
      <c r="L75" s="127"/>
      <c r="M75" s="127"/>
      <c r="N75" s="127"/>
      <c r="O75" s="127"/>
      <c r="P75" s="127"/>
    </row>
    <row r="76" spans="1:16" ht="60" x14ac:dyDescent="0.25">
      <c r="A76" s="164">
        <v>57</v>
      </c>
      <c r="B76" s="210" t="s">
        <v>111</v>
      </c>
      <c r="C76" s="160" t="s">
        <v>18</v>
      </c>
      <c r="D76" s="163" t="s">
        <v>9</v>
      </c>
      <c r="E76" s="112" t="s">
        <v>8</v>
      </c>
      <c r="F76" s="20">
        <f>25.64-4.83</f>
        <v>20.810000000000002</v>
      </c>
      <c r="G76" s="13">
        <v>38.659999999999997</v>
      </c>
      <c r="H76" s="13">
        <f>G76+G76*B$18</f>
        <v>47.346902</v>
      </c>
      <c r="I76" s="13">
        <f t="shared" si="5"/>
        <v>985.28903062000006</v>
      </c>
      <c r="J76" s="126"/>
      <c r="K76" s="127"/>
      <c r="L76" s="127"/>
      <c r="M76" s="127"/>
      <c r="N76" s="127"/>
      <c r="O76" s="127"/>
      <c r="P76" s="127"/>
    </row>
    <row r="77" spans="1:16" ht="60" x14ac:dyDescent="0.25">
      <c r="A77" s="164">
        <v>58</v>
      </c>
      <c r="B77" s="210"/>
      <c r="C77" s="160" t="s">
        <v>12</v>
      </c>
      <c r="D77" s="163" t="s">
        <v>14</v>
      </c>
      <c r="E77" s="112" t="s">
        <v>8</v>
      </c>
      <c r="F77" s="20">
        <f>2*F76</f>
        <v>41.620000000000005</v>
      </c>
      <c r="G77" s="13">
        <v>5.51</v>
      </c>
      <c r="H77" s="13">
        <f t="shared" ref="H77:H79" si="12">G77+G77*B$18</f>
        <v>6.7480969999999996</v>
      </c>
      <c r="I77" s="13">
        <f t="shared" si="5"/>
        <v>280.85579713999999</v>
      </c>
      <c r="J77" s="126"/>
      <c r="K77" s="127"/>
      <c r="L77" s="127"/>
      <c r="M77" s="127"/>
      <c r="N77" s="127"/>
      <c r="O77" s="127"/>
      <c r="P77" s="127"/>
    </row>
    <row r="78" spans="1:16" ht="45" x14ac:dyDescent="0.25">
      <c r="A78" s="164">
        <v>59</v>
      </c>
      <c r="B78" s="210"/>
      <c r="C78" s="160" t="s">
        <v>13</v>
      </c>
      <c r="D78" s="163" t="s">
        <v>15</v>
      </c>
      <c r="E78" s="112" t="s">
        <v>8</v>
      </c>
      <c r="F78" s="20">
        <f>F77</f>
        <v>41.620000000000005</v>
      </c>
      <c r="G78" s="13">
        <v>20.43</v>
      </c>
      <c r="H78" s="13">
        <f t="shared" si="12"/>
        <v>25.020620999999998</v>
      </c>
      <c r="I78" s="13">
        <f t="shared" si="5"/>
        <v>1041.35824602</v>
      </c>
      <c r="J78" s="126"/>
      <c r="K78" s="127"/>
      <c r="L78" s="127"/>
      <c r="M78" s="127"/>
      <c r="N78" s="127"/>
      <c r="O78" s="127"/>
      <c r="P78" s="127"/>
    </row>
    <row r="79" spans="1:16" ht="45" x14ac:dyDescent="0.25">
      <c r="A79" s="164">
        <v>60</v>
      </c>
      <c r="B79" s="210"/>
      <c r="C79" s="160" t="s">
        <v>17</v>
      </c>
      <c r="D79" s="163" t="s">
        <v>16</v>
      </c>
      <c r="E79" s="112" t="s">
        <v>8</v>
      </c>
      <c r="F79" s="20">
        <f>F78</f>
        <v>41.620000000000005</v>
      </c>
      <c r="G79" s="13">
        <v>19.2</v>
      </c>
      <c r="H79" s="13">
        <f t="shared" si="12"/>
        <v>23.514240000000001</v>
      </c>
      <c r="I79" s="13">
        <f t="shared" si="5"/>
        <v>978.66266880000012</v>
      </c>
      <c r="J79" s="126"/>
      <c r="K79" s="127"/>
      <c r="L79" s="127"/>
      <c r="M79" s="127"/>
      <c r="N79" s="127"/>
      <c r="O79" s="127"/>
      <c r="P79" s="127"/>
    </row>
    <row r="80" spans="1:16" ht="60" x14ac:dyDescent="0.25">
      <c r="A80" s="164">
        <v>61</v>
      </c>
      <c r="B80" s="210" t="s">
        <v>111</v>
      </c>
      <c r="C80" s="160" t="s">
        <v>18</v>
      </c>
      <c r="D80" s="163" t="s">
        <v>9</v>
      </c>
      <c r="E80" s="112" t="s">
        <v>8</v>
      </c>
      <c r="F80" s="20">
        <f>26.76-4.83</f>
        <v>21.93</v>
      </c>
      <c r="G80" s="13">
        <v>38.659999999999997</v>
      </c>
      <c r="H80" s="13">
        <f>G80+G80*B$18</f>
        <v>47.346902</v>
      </c>
      <c r="I80" s="13">
        <f t="shared" si="5"/>
        <v>1038.31756086</v>
      </c>
      <c r="J80" s="126"/>
      <c r="K80" s="127"/>
      <c r="L80" s="127"/>
      <c r="M80" s="127"/>
      <c r="N80" s="127"/>
      <c r="O80" s="127"/>
      <c r="P80" s="127"/>
    </row>
    <row r="81" spans="1:16" ht="60" x14ac:dyDescent="0.25">
      <c r="A81" s="164">
        <v>62</v>
      </c>
      <c r="B81" s="210"/>
      <c r="C81" s="160" t="s">
        <v>12</v>
      </c>
      <c r="D81" s="163" t="s">
        <v>14</v>
      </c>
      <c r="E81" s="112" t="s">
        <v>8</v>
      </c>
      <c r="F81" s="20">
        <f>2*F80</f>
        <v>43.86</v>
      </c>
      <c r="G81" s="13">
        <v>5.51</v>
      </c>
      <c r="H81" s="13">
        <f t="shared" ref="H81:H131" si="13">G81+G81*B$18</f>
        <v>6.7480969999999996</v>
      </c>
      <c r="I81" s="13">
        <f t="shared" si="5"/>
        <v>295.97153441999995</v>
      </c>
      <c r="J81" s="126"/>
      <c r="K81" s="127"/>
      <c r="L81" s="127"/>
      <c r="M81" s="127"/>
      <c r="N81" s="127"/>
      <c r="O81" s="127"/>
      <c r="P81" s="127"/>
    </row>
    <row r="82" spans="1:16" ht="45" x14ac:dyDescent="0.25">
      <c r="A82" s="164">
        <v>63</v>
      </c>
      <c r="B82" s="210"/>
      <c r="C82" s="160" t="s">
        <v>13</v>
      </c>
      <c r="D82" s="163" t="s">
        <v>15</v>
      </c>
      <c r="E82" s="112" t="s">
        <v>8</v>
      </c>
      <c r="F82" s="20">
        <f>F81</f>
        <v>43.86</v>
      </c>
      <c r="G82" s="13">
        <v>20.43</v>
      </c>
      <c r="H82" s="13">
        <f t="shared" si="13"/>
        <v>25.020620999999998</v>
      </c>
      <c r="I82" s="13">
        <f t="shared" si="5"/>
        <v>1097.40443706</v>
      </c>
      <c r="J82" s="126"/>
      <c r="K82" s="127"/>
      <c r="L82" s="127"/>
      <c r="M82" s="127"/>
      <c r="N82" s="127"/>
      <c r="O82" s="127"/>
      <c r="P82" s="127"/>
    </row>
    <row r="83" spans="1:16" ht="45" x14ac:dyDescent="0.25">
      <c r="A83" s="164">
        <v>64</v>
      </c>
      <c r="B83" s="210"/>
      <c r="C83" s="160" t="s">
        <v>17</v>
      </c>
      <c r="D83" s="163" t="s">
        <v>16</v>
      </c>
      <c r="E83" s="112" t="s">
        <v>8</v>
      </c>
      <c r="F83" s="20">
        <f>F82</f>
        <v>43.86</v>
      </c>
      <c r="G83" s="13">
        <v>19.2</v>
      </c>
      <c r="H83" s="13">
        <f t="shared" si="13"/>
        <v>23.514240000000001</v>
      </c>
      <c r="I83" s="13">
        <f t="shared" si="5"/>
        <v>1031.3345664000001</v>
      </c>
      <c r="J83" s="126"/>
      <c r="K83" s="127"/>
      <c r="L83" s="127"/>
      <c r="M83" s="127"/>
      <c r="N83" s="127"/>
      <c r="O83" s="127"/>
      <c r="P83" s="127"/>
    </row>
    <row r="84" spans="1:16" ht="30" x14ac:dyDescent="0.25">
      <c r="A84" s="164">
        <v>65</v>
      </c>
      <c r="B84" s="154" t="s">
        <v>100</v>
      </c>
      <c r="C84" s="113" t="s">
        <v>78</v>
      </c>
      <c r="D84" s="42" t="s">
        <v>110</v>
      </c>
      <c r="E84" s="112" t="s">
        <v>8</v>
      </c>
      <c r="F84" s="20">
        <v>118.64</v>
      </c>
      <c r="G84" s="13">
        <v>67.319999999999993</v>
      </c>
      <c r="H84" s="13">
        <f t="shared" si="13"/>
        <v>82.446803999999986</v>
      </c>
      <c r="I84" s="13">
        <f t="shared" si="5"/>
        <v>9781.4888265599984</v>
      </c>
      <c r="J84" s="126"/>
      <c r="K84" s="127"/>
      <c r="L84" s="127"/>
      <c r="M84" s="127"/>
      <c r="N84" s="127"/>
      <c r="O84" s="127"/>
      <c r="P84" s="127"/>
    </row>
    <row r="85" spans="1:16" ht="30" x14ac:dyDescent="0.25">
      <c r="A85" s="164">
        <v>66</v>
      </c>
      <c r="B85" s="154" t="s">
        <v>99</v>
      </c>
      <c r="C85" s="113" t="s">
        <v>78</v>
      </c>
      <c r="D85" s="42" t="s">
        <v>110</v>
      </c>
      <c r="E85" s="112" t="s">
        <v>8</v>
      </c>
      <c r="F85" s="20">
        <v>113.9</v>
      </c>
      <c r="G85" s="13">
        <v>67.319999999999993</v>
      </c>
      <c r="H85" s="13">
        <f t="shared" si="13"/>
        <v>82.446803999999986</v>
      </c>
      <c r="I85" s="13">
        <f t="shared" si="5"/>
        <v>9390.6909755999986</v>
      </c>
      <c r="J85" s="126"/>
      <c r="K85" s="127"/>
      <c r="L85" s="127"/>
      <c r="M85" s="127"/>
      <c r="N85" s="127"/>
      <c r="O85" s="127"/>
      <c r="P85" s="127"/>
    </row>
    <row r="86" spans="1:16" ht="30" x14ac:dyDescent="0.25">
      <c r="A86" s="164">
        <v>67</v>
      </c>
      <c r="B86" s="154" t="s">
        <v>98</v>
      </c>
      <c r="C86" s="113" t="s">
        <v>78</v>
      </c>
      <c r="D86" s="42" t="s">
        <v>110</v>
      </c>
      <c r="E86" s="112" t="s">
        <v>8</v>
      </c>
      <c r="F86" s="20">
        <v>40.6</v>
      </c>
      <c r="G86" s="13">
        <v>67.319999999999993</v>
      </c>
      <c r="H86" s="13">
        <f t="shared" si="13"/>
        <v>82.446803999999986</v>
      </c>
      <c r="I86" s="13">
        <f t="shared" si="5"/>
        <v>3347.3402423999996</v>
      </c>
      <c r="J86" s="126"/>
      <c r="K86" s="127"/>
      <c r="L86" s="127"/>
      <c r="M86" s="127"/>
      <c r="N86" s="127"/>
      <c r="O86" s="127"/>
      <c r="P86" s="127"/>
    </row>
    <row r="87" spans="1:16" ht="30" x14ac:dyDescent="0.25">
      <c r="A87" s="164">
        <v>68</v>
      </c>
      <c r="B87" s="154" t="s">
        <v>97</v>
      </c>
      <c r="C87" s="113" t="s">
        <v>78</v>
      </c>
      <c r="D87" s="42" t="s">
        <v>110</v>
      </c>
      <c r="E87" s="112" t="s">
        <v>8</v>
      </c>
      <c r="F87" s="20">
        <v>93.31</v>
      </c>
      <c r="G87" s="13">
        <v>67.319999999999993</v>
      </c>
      <c r="H87" s="13">
        <f t="shared" si="13"/>
        <v>82.446803999999986</v>
      </c>
      <c r="I87" s="13">
        <f t="shared" si="5"/>
        <v>7693.1112812399988</v>
      </c>
      <c r="J87" s="126"/>
      <c r="K87" s="127"/>
      <c r="L87" s="127"/>
      <c r="M87" s="127"/>
      <c r="N87" s="127"/>
      <c r="O87" s="127"/>
      <c r="P87" s="127"/>
    </row>
    <row r="88" spans="1:16" ht="30" x14ac:dyDescent="0.25">
      <c r="A88" s="164">
        <v>69</v>
      </c>
      <c r="B88" s="154" t="s">
        <v>96</v>
      </c>
      <c r="C88" s="113" t="s">
        <v>78</v>
      </c>
      <c r="D88" s="42" t="s">
        <v>110</v>
      </c>
      <c r="E88" s="112" t="s">
        <v>8</v>
      </c>
      <c r="F88" s="20">
        <v>130.69</v>
      </c>
      <c r="G88" s="13">
        <v>67.319999999999993</v>
      </c>
      <c r="H88" s="13">
        <f t="shared" si="13"/>
        <v>82.446803999999986</v>
      </c>
      <c r="I88" s="13">
        <f t="shared" si="5"/>
        <v>10774.972814759998</v>
      </c>
      <c r="J88" s="126"/>
      <c r="K88" s="127"/>
      <c r="L88" s="127"/>
      <c r="M88" s="127"/>
      <c r="N88" s="127"/>
      <c r="O88" s="127"/>
      <c r="P88" s="127"/>
    </row>
    <row r="89" spans="1:16" ht="30" x14ac:dyDescent="0.25">
      <c r="A89" s="164">
        <v>70</v>
      </c>
      <c r="B89" s="154" t="s">
        <v>95</v>
      </c>
      <c r="C89" s="113" t="s">
        <v>78</v>
      </c>
      <c r="D89" s="42" t="s">
        <v>110</v>
      </c>
      <c r="E89" s="112" t="s">
        <v>8</v>
      </c>
      <c r="F89" s="20">
        <v>41.4</v>
      </c>
      <c r="G89" s="13">
        <v>67.319999999999993</v>
      </c>
      <c r="H89" s="13">
        <f t="shared" si="13"/>
        <v>82.446803999999986</v>
      </c>
      <c r="I89" s="13">
        <f t="shared" si="5"/>
        <v>3413.2976855999991</v>
      </c>
      <c r="J89" s="126"/>
      <c r="K89" s="127"/>
      <c r="L89" s="127"/>
      <c r="M89" s="127"/>
      <c r="N89" s="127"/>
      <c r="O89" s="127"/>
      <c r="P89" s="127"/>
    </row>
    <row r="90" spans="1:16" ht="30" x14ac:dyDescent="0.25">
      <c r="A90" s="164">
        <v>71</v>
      </c>
      <c r="B90" s="154" t="s">
        <v>94</v>
      </c>
      <c r="C90" s="113" t="s">
        <v>78</v>
      </c>
      <c r="D90" s="42" t="s">
        <v>110</v>
      </c>
      <c r="E90" s="112" t="s">
        <v>8</v>
      </c>
      <c r="F90" s="20">
        <v>38.590000000000003</v>
      </c>
      <c r="G90" s="13">
        <v>67.319999999999993</v>
      </c>
      <c r="H90" s="13">
        <f t="shared" si="13"/>
        <v>82.446803999999986</v>
      </c>
      <c r="I90" s="13">
        <f t="shared" si="5"/>
        <v>3181.6221663599999</v>
      </c>
      <c r="J90" s="126"/>
      <c r="K90" s="127"/>
      <c r="L90" s="127"/>
      <c r="M90" s="127"/>
      <c r="N90" s="127"/>
      <c r="O90" s="127"/>
      <c r="P90" s="127"/>
    </row>
    <row r="91" spans="1:16" ht="30" x14ac:dyDescent="0.25">
      <c r="A91" s="164">
        <v>72</v>
      </c>
      <c r="B91" s="154" t="s">
        <v>93</v>
      </c>
      <c r="C91" s="113" t="s">
        <v>78</v>
      </c>
      <c r="D91" s="42" t="s">
        <v>110</v>
      </c>
      <c r="E91" s="112" t="s">
        <v>8</v>
      </c>
      <c r="F91" s="20">
        <v>41.49</v>
      </c>
      <c r="G91" s="13">
        <v>67.319999999999993</v>
      </c>
      <c r="H91" s="13">
        <f t="shared" si="13"/>
        <v>82.446803999999986</v>
      </c>
      <c r="I91" s="13">
        <f t="shared" si="5"/>
        <v>3420.7178979599994</v>
      </c>
      <c r="J91" s="126"/>
      <c r="K91" s="127"/>
      <c r="L91" s="127"/>
      <c r="M91" s="127"/>
      <c r="N91" s="127"/>
      <c r="O91" s="127"/>
      <c r="P91" s="127"/>
    </row>
    <row r="92" spans="1:16" ht="30" x14ac:dyDescent="0.25">
      <c r="A92" s="164">
        <v>73</v>
      </c>
      <c r="B92" s="154" t="s">
        <v>100</v>
      </c>
      <c r="C92" s="113" t="s">
        <v>21</v>
      </c>
      <c r="D92" s="42" t="s">
        <v>20</v>
      </c>
      <c r="E92" s="112" t="s">
        <v>8</v>
      </c>
      <c r="F92" s="20">
        <v>118.64</v>
      </c>
      <c r="G92" s="13">
        <v>24</v>
      </c>
      <c r="H92" s="13">
        <f t="shared" si="13"/>
        <v>29.392800000000001</v>
      </c>
      <c r="I92" s="13">
        <f t="shared" si="5"/>
        <v>3487.1617920000003</v>
      </c>
      <c r="J92" s="126"/>
      <c r="K92" s="127"/>
      <c r="L92" s="127"/>
      <c r="M92" s="127"/>
      <c r="N92" s="127"/>
      <c r="O92" s="127"/>
      <c r="P92" s="127"/>
    </row>
    <row r="93" spans="1:16" ht="30" x14ac:dyDescent="0.25">
      <c r="A93" s="164">
        <v>74</v>
      </c>
      <c r="B93" s="154" t="s">
        <v>99</v>
      </c>
      <c r="C93" s="113" t="s">
        <v>21</v>
      </c>
      <c r="D93" s="42" t="s">
        <v>20</v>
      </c>
      <c r="E93" s="112" t="s">
        <v>8</v>
      </c>
      <c r="F93" s="20">
        <v>113.9</v>
      </c>
      <c r="G93" s="13">
        <v>24</v>
      </c>
      <c r="H93" s="13">
        <f t="shared" si="13"/>
        <v>29.392800000000001</v>
      </c>
      <c r="I93" s="13">
        <f t="shared" si="5"/>
        <v>3347.8399200000003</v>
      </c>
      <c r="J93" s="126"/>
      <c r="K93" s="127"/>
      <c r="L93" s="127"/>
      <c r="M93" s="127"/>
      <c r="N93" s="127"/>
      <c r="O93" s="127"/>
      <c r="P93" s="127"/>
    </row>
    <row r="94" spans="1:16" ht="30" x14ac:dyDescent="0.25">
      <c r="A94" s="164">
        <v>75</v>
      </c>
      <c r="B94" s="154" t="s">
        <v>98</v>
      </c>
      <c r="C94" s="113" t="s">
        <v>21</v>
      </c>
      <c r="D94" s="42" t="s">
        <v>20</v>
      </c>
      <c r="E94" s="112" t="s">
        <v>8</v>
      </c>
      <c r="F94" s="20">
        <v>40.6</v>
      </c>
      <c r="G94" s="13">
        <v>24</v>
      </c>
      <c r="H94" s="13">
        <f t="shared" si="13"/>
        <v>29.392800000000001</v>
      </c>
      <c r="I94" s="13">
        <f t="shared" si="5"/>
        <v>1193.3476800000001</v>
      </c>
      <c r="J94" s="126"/>
      <c r="K94" s="127"/>
      <c r="L94" s="127"/>
      <c r="M94" s="127"/>
      <c r="N94" s="127"/>
      <c r="O94" s="127"/>
      <c r="P94" s="127"/>
    </row>
    <row r="95" spans="1:16" ht="30" x14ac:dyDescent="0.25">
      <c r="A95" s="164">
        <v>76</v>
      </c>
      <c r="B95" s="154" t="s">
        <v>97</v>
      </c>
      <c r="C95" s="113" t="s">
        <v>21</v>
      </c>
      <c r="D95" s="42" t="s">
        <v>20</v>
      </c>
      <c r="E95" s="112" t="s">
        <v>8</v>
      </c>
      <c r="F95" s="20">
        <v>93.31</v>
      </c>
      <c r="G95" s="13">
        <v>24</v>
      </c>
      <c r="H95" s="13">
        <f t="shared" si="13"/>
        <v>29.392800000000001</v>
      </c>
      <c r="I95" s="13">
        <f t="shared" si="5"/>
        <v>2742.6421680000003</v>
      </c>
      <c r="J95" s="126"/>
      <c r="K95" s="127"/>
      <c r="L95" s="127"/>
      <c r="M95" s="127"/>
      <c r="N95" s="127"/>
      <c r="O95" s="127"/>
      <c r="P95" s="127"/>
    </row>
    <row r="96" spans="1:16" ht="30" x14ac:dyDescent="0.25">
      <c r="A96" s="164">
        <v>77</v>
      </c>
      <c r="B96" s="154" t="s">
        <v>96</v>
      </c>
      <c r="C96" s="113" t="s">
        <v>21</v>
      </c>
      <c r="D96" s="42" t="s">
        <v>20</v>
      </c>
      <c r="E96" s="112" t="s">
        <v>8</v>
      </c>
      <c r="F96" s="20">
        <v>130.69</v>
      </c>
      <c r="G96" s="13">
        <v>24</v>
      </c>
      <c r="H96" s="13">
        <f t="shared" si="13"/>
        <v>29.392800000000001</v>
      </c>
      <c r="I96" s="13">
        <f t="shared" si="5"/>
        <v>3841.3450320000002</v>
      </c>
      <c r="J96" s="126"/>
      <c r="K96" s="127"/>
      <c r="L96" s="127"/>
      <c r="M96" s="127"/>
      <c r="N96" s="127"/>
      <c r="O96" s="127"/>
      <c r="P96" s="127"/>
    </row>
    <row r="97" spans="1:16" ht="30" x14ac:dyDescent="0.25">
      <c r="A97" s="164">
        <v>78</v>
      </c>
      <c r="B97" s="154" t="s">
        <v>95</v>
      </c>
      <c r="C97" s="113" t="s">
        <v>21</v>
      </c>
      <c r="D97" s="42" t="s">
        <v>20</v>
      </c>
      <c r="E97" s="112" t="s">
        <v>8</v>
      </c>
      <c r="F97" s="20">
        <v>41.4</v>
      </c>
      <c r="G97" s="13">
        <v>24</v>
      </c>
      <c r="H97" s="13">
        <f t="shared" si="13"/>
        <v>29.392800000000001</v>
      </c>
      <c r="I97" s="13">
        <f t="shared" si="5"/>
        <v>1216.8619200000001</v>
      </c>
      <c r="J97" s="126"/>
      <c r="K97" s="127"/>
      <c r="L97" s="127"/>
      <c r="M97" s="127"/>
      <c r="N97" s="127"/>
      <c r="O97" s="127"/>
      <c r="P97" s="127"/>
    </row>
    <row r="98" spans="1:16" ht="30" x14ac:dyDescent="0.25">
      <c r="A98" s="164">
        <v>79</v>
      </c>
      <c r="B98" s="154" t="s">
        <v>94</v>
      </c>
      <c r="C98" s="113" t="s">
        <v>21</v>
      </c>
      <c r="D98" s="42" t="s">
        <v>20</v>
      </c>
      <c r="E98" s="112" t="s">
        <v>8</v>
      </c>
      <c r="F98" s="20">
        <v>38.590000000000003</v>
      </c>
      <c r="G98" s="13">
        <v>24</v>
      </c>
      <c r="H98" s="13">
        <f t="shared" si="13"/>
        <v>29.392800000000001</v>
      </c>
      <c r="I98" s="13">
        <f t="shared" si="5"/>
        <v>1134.2681520000001</v>
      </c>
      <c r="J98" s="126"/>
      <c r="K98" s="127"/>
      <c r="L98" s="127"/>
      <c r="M98" s="127"/>
      <c r="N98" s="127"/>
      <c r="O98" s="127"/>
      <c r="P98" s="127"/>
    </row>
    <row r="99" spans="1:16" ht="30" x14ac:dyDescent="0.25">
      <c r="A99" s="164">
        <v>80</v>
      </c>
      <c r="B99" s="154" t="s">
        <v>93</v>
      </c>
      <c r="C99" s="113" t="s">
        <v>21</v>
      </c>
      <c r="D99" s="42" t="s">
        <v>20</v>
      </c>
      <c r="E99" s="112" t="s">
        <v>8</v>
      </c>
      <c r="F99" s="20">
        <v>41.49</v>
      </c>
      <c r="G99" s="13">
        <v>24</v>
      </c>
      <c r="H99" s="13">
        <f t="shared" si="13"/>
        <v>29.392800000000001</v>
      </c>
      <c r="I99" s="13">
        <f t="shared" si="5"/>
        <v>1219.5072720000001</v>
      </c>
      <c r="J99" s="126"/>
      <c r="K99" s="127"/>
      <c r="L99" s="127"/>
      <c r="M99" s="127"/>
      <c r="N99" s="127"/>
      <c r="O99" s="127"/>
      <c r="P99" s="127"/>
    </row>
    <row r="100" spans="1:16" ht="45" x14ac:dyDescent="0.25">
      <c r="A100" s="164">
        <v>81</v>
      </c>
      <c r="B100" s="154" t="s">
        <v>100</v>
      </c>
      <c r="C100" s="113" t="s">
        <v>23</v>
      </c>
      <c r="D100" s="42" t="s">
        <v>22</v>
      </c>
      <c r="E100" s="112" t="s">
        <v>19</v>
      </c>
      <c r="F100" s="20">
        <f>(15.33+7.38+7.38)</f>
        <v>30.09</v>
      </c>
      <c r="G100" s="13">
        <v>22.78</v>
      </c>
      <c r="H100" s="13">
        <f t="shared" si="13"/>
        <v>27.898666000000002</v>
      </c>
      <c r="I100" s="13">
        <f t="shared" si="5"/>
        <v>839.47085994000008</v>
      </c>
      <c r="J100" s="126"/>
      <c r="K100" s="127"/>
      <c r="L100" s="127"/>
      <c r="M100" s="127"/>
      <c r="N100" s="127"/>
      <c r="O100" s="127"/>
      <c r="P100" s="127"/>
    </row>
    <row r="101" spans="1:16" ht="45" x14ac:dyDescent="0.25">
      <c r="A101" s="164">
        <v>82</v>
      </c>
      <c r="B101" s="154" t="s">
        <v>99</v>
      </c>
      <c r="C101" s="113" t="s">
        <v>23</v>
      </c>
      <c r="D101" s="42" t="s">
        <v>22</v>
      </c>
      <c r="E101" s="112" t="s">
        <v>19</v>
      </c>
      <c r="F101" s="20">
        <f>(16.24+6.77+6.77)</f>
        <v>29.779999999999998</v>
      </c>
      <c r="G101" s="13">
        <v>22.78</v>
      </c>
      <c r="H101" s="13">
        <f t="shared" si="13"/>
        <v>27.898666000000002</v>
      </c>
      <c r="I101" s="13">
        <f t="shared" si="5"/>
        <v>830.82227348000004</v>
      </c>
      <c r="J101" s="126"/>
      <c r="K101" s="127"/>
      <c r="L101" s="127"/>
      <c r="M101" s="127"/>
      <c r="N101" s="127"/>
      <c r="O101" s="127"/>
      <c r="P101" s="127"/>
    </row>
    <row r="102" spans="1:16" ht="45" x14ac:dyDescent="0.25">
      <c r="A102" s="164">
        <v>83</v>
      </c>
      <c r="B102" s="154" t="s">
        <v>98</v>
      </c>
      <c r="C102" s="113" t="s">
        <v>23</v>
      </c>
      <c r="D102" s="42" t="s">
        <v>22</v>
      </c>
      <c r="E102" s="112" t="s">
        <v>19</v>
      </c>
      <c r="F102" s="20">
        <f>(11.16+3.36+3.36)</f>
        <v>17.88</v>
      </c>
      <c r="G102" s="13">
        <v>22.78</v>
      </c>
      <c r="H102" s="13">
        <f t="shared" si="13"/>
        <v>27.898666000000002</v>
      </c>
      <c r="I102" s="13">
        <f t="shared" si="5"/>
        <v>498.82814808000001</v>
      </c>
      <c r="J102" s="126"/>
      <c r="K102" s="127"/>
      <c r="L102" s="127"/>
      <c r="M102" s="127"/>
      <c r="N102" s="127"/>
      <c r="O102" s="127"/>
      <c r="P102" s="127"/>
    </row>
    <row r="103" spans="1:16" ht="45" x14ac:dyDescent="0.25">
      <c r="A103" s="164">
        <v>84</v>
      </c>
      <c r="B103" s="154" t="s">
        <v>97</v>
      </c>
      <c r="C103" s="113" t="s">
        <v>23</v>
      </c>
      <c r="D103" s="42" t="s">
        <v>22</v>
      </c>
      <c r="E103" s="112" t="s">
        <v>19</v>
      </c>
      <c r="F103" s="20">
        <f>(15.45+5.94+5.94)</f>
        <v>27.330000000000002</v>
      </c>
      <c r="G103" s="13">
        <v>22.78</v>
      </c>
      <c r="H103" s="13">
        <f t="shared" si="13"/>
        <v>27.898666000000002</v>
      </c>
      <c r="I103" s="13">
        <f t="shared" si="5"/>
        <v>762.47054178000008</v>
      </c>
      <c r="J103" s="126"/>
      <c r="K103" s="127"/>
      <c r="L103" s="127"/>
      <c r="M103" s="127"/>
      <c r="N103" s="127"/>
      <c r="O103" s="127"/>
      <c r="P103" s="127"/>
    </row>
    <row r="104" spans="1:16" ht="45" x14ac:dyDescent="0.25">
      <c r="A104" s="164">
        <v>85</v>
      </c>
      <c r="B104" s="154" t="s">
        <v>96</v>
      </c>
      <c r="C104" s="113" t="s">
        <v>23</v>
      </c>
      <c r="D104" s="42" t="s">
        <v>22</v>
      </c>
      <c r="E104" s="112" t="s">
        <v>19</v>
      </c>
      <c r="F104" s="20">
        <f>(18.35+6.79+6.79)</f>
        <v>31.93</v>
      </c>
      <c r="G104" s="13">
        <v>22.78</v>
      </c>
      <c r="H104" s="13">
        <f t="shared" si="13"/>
        <v>27.898666000000002</v>
      </c>
      <c r="I104" s="13">
        <f t="shared" si="5"/>
        <v>890.80440538000005</v>
      </c>
      <c r="J104" s="126"/>
      <c r="K104" s="127"/>
      <c r="L104" s="127"/>
      <c r="M104" s="127"/>
      <c r="N104" s="127"/>
      <c r="O104" s="127"/>
      <c r="P104" s="127"/>
    </row>
    <row r="105" spans="1:16" ht="45" x14ac:dyDescent="0.25">
      <c r="A105" s="164">
        <v>86</v>
      </c>
      <c r="B105" s="154" t="s">
        <v>95</v>
      </c>
      <c r="C105" s="113" t="s">
        <v>23</v>
      </c>
      <c r="D105" s="42" t="s">
        <v>22</v>
      </c>
      <c r="E105" s="112" t="s">
        <v>19</v>
      </c>
      <c r="F105" s="20">
        <f>(8.28+4.63+4.63)</f>
        <v>17.54</v>
      </c>
      <c r="G105" s="13">
        <v>22.78</v>
      </c>
      <c r="H105" s="13">
        <f t="shared" si="13"/>
        <v>27.898666000000002</v>
      </c>
      <c r="I105" s="13">
        <f t="shared" si="5"/>
        <v>489.34260164</v>
      </c>
      <c r="J105" s="126"/>
      <c r="K105" s="127"/>
      <c r="L105" s="127"/>
      <c r="M105" s="127"/>
      <c r="N105" s="127"/>
      <c r="O105" s="127"/>
      <c r="P105" s="127"/>
    </row>
    <row r="106" spans="1:16" ht="45" x14ac:dyDescent="0.25">
      <c r="A106" s="164">
        <v>87</v>
      </c>
      <c r="B106" s="154" t="s">
        <v>94</v>
      </c>
      <c r="C106" s="113" t="s">
        <v>23</v>
      </c>
      <c r="D106" s="42" t="s">
        <v>22</v>
      </c>
      <c r="E106" s="112" t="s">
        <v>19</v>
      </c>
      <c r="F106" s="20">
        <f>(7.99+4.59+4.59)</f>
        <v>17.170000000000002</v>
      </c>
      <c r="G106" s="13">
        <v>22.78</v>
      </c>
      <c r="H106" s="13">
        <f t="shared" si="13"/>
        <v>27.898666000000002</v>
      </c>
      <c r="I106" s="13">
        <f t="shared" si="5"/>
        <v>479.02009522000009</v>
      </c>
      <c r="J106" s="126"/>
      <c r="K106" s="127"/>
      <c r="L106" s="127"/>
      <c r="M106" s="127"/>
      <c r="N106" s="127"/>
      <c r="O106" s="127"/>
      <c r="P106" s="127"/>
    </row>
    <row r="107" spans="1:16" ht="45" x14ac:dyDescent="0.25">
      <c r="A107" s="164">
        <v>88</v>
      </c>
      <c r="B107" s="154" t="s">
        <v>93</v>
      </c>
      <c r="C107" s="113" t="s">
        <v>23</v>
      </c>
      <c r="D107" s="42" t="s">
        <v>22</v>
      </c>
      <c r="E107" s="112" t="s">
        <v>19</v>
      </c>
      <c r="F107" s="20">
        <f>(8.28+4.63+4.63)</f>
        <v>17.54</v>
      </c>
      <c r="G107" s="13">
        <v>22.78</v>
      </c>
      <c r="H107" s="13">
        <f t="shared" si="13"/>
        <v>27.898666000000002</v>
      </c>
      <c r="I107" s="13">
        <f t="shared" si="5"/>
        <v>489.34260164</v>
      </c>
      <c r="J107" s="126"/>
      <c r="K107" s="127"/>
      <c r="L107" s="127"/>
      <c r="M107" s="127"/>
      <c r="N107" s="127"/>
      <c r="O107" s="127"/>
      <c r="P107" s="127"/>
    </row>
    <row r="108" spans="1:16" ht="30" x14ac:dyDescent="0.25">
      <c r="A108" s="164">
        <v>89</v>
      </c>
      <c r="B108" s="154" t="s">
        <v>100</v>
      </c>
      <c r="C108" s="113" t="s">
        <v>25</v>
      </c>
      <c r="D108" s="42" t="s">
        <v>24</v>
      </c>
      <c r="E108" s="112" t="s">
        <v>19</v>
      </c>
      <c r="F108" s="20">
        <f>15.33</f>
        <v>15.33</v>
      </c>
      <c r="G108" s="13">
        <v>94.85</v>
      </c>
      <c r="H108" s="13">
        <f t="shared" si="13"/>
        <v>116.16279499999999</v>
      </c>
      <c r="I108" s="13">
        <f t="shared" si="5"/>
        <v>1780.7756473499999</v>
      </c>
      <c r="J108" s="126"/>
      <c r="K108" s="127"/>
      <c r="L108" s="127"/>
      <c r="M108" s="127"/>
      <c r="N108" s="127"/>
      <c r="O108" s="127"/>
      <c r="P108" s="127"/>
    </row>
    <row r="109" spans="1:16" ht="30" x14ac:dyDescent="0.25">
      <c r="A109" s="164">
        <v>90</v>
      </c>
      <c r="B109" s="154" t="s">
        <v>99</v>
      </c>
      <c r="C109" s="113" t="s">
        <v>25</v>
      </c>
      <c r="D109" s="42" t="s">
        <v>24</v>
      </c>
      <c r="E109" s="112" t="s">
        <v>19</v>
      </c>
      <c r="F109" s="20">
        <v>13.53</v>
      </c>
      <c r="G109" s="13">
        <v>94.85</v>
      </c>
      <c r="H109" s="13">
        <f t="shared" si="13"/>
        <v>116.16279499999999</v>
      </c>
      <c r="I109" s="13">
        <f t="shared" si="5"/>
        <v>1571.6826163499998</v>
      </c>
      <c r="J109" s="126"/>
      <c r="K109" s="127"/>
      <c r="L109" s="127"/>
      <c r="M109" s="127"/>
      <c r="N109" s="127"/>
      <c r="O109" s="127"/>
      <c r="P109" s="127"/>
    </row>
    <row r="110" spans="1:16" ht="30" x14ac:dyDescent="0.25">
      <c r="A110" s="164">
        <v>91</v>
      </c>
      <c r="B110" s="154" t="s">
        <v>98</v>
      </c>
      <c r="C110" s="113" t="s">
        <v>25</v>
      </c>
      <c r="D110" s="42" t="s">
        <v>24</v>
      </c>
      <c r="E110" s="112" t="s">
        <v>19</v>
      </c>
      <c r="F110" s="20">
        <v>11.16</v>
      </c>
      <c r="G110" s="13">
        <v>94.85</v>
      </c>
      <c r="H110" s="13">
        <f t="shared" si="13"/>
        <v>116.16279499999999</v>
      </c>
      <c r="I110" s="13">
        <f t="shared" si="5"/>
        <v>1296.3767922</v>
      </c>
      <c r="J110" s="126"/>
      <c r="K110" s="127"/>
      <c r="L110" s="127"/>
      <c r="M110" s="127"/>
      <c r="N110" s="127"/>
      <c r="O110" s="127"/>
      <c r="P110" s="127"/>
    </row>
    <row r="111" spans="1:16" ht="30" x14ac:dyDescent="0.25">
      <c r="A111" s="164">
        <v>92</v>
      </c>
      <c r="B111" s="154" t="s">
        <v>97</v>
      </c>
      <c r="C111" s="113" t="s">
        <v>25</v>
      </c>
      <c r="D111" s="42" t="s">
        <v>24</v>
      </c>
      <c r="E111" s="112" t="s">
        <v>19</v>
      </c>
      <c r="F111" s="20">
        <v>16.239999999999998</v>
      </c>
      <c r="G111" s="13">
        <v>94.85</v>
      </c>
      <c r="H111" s="13">
        <f t="shared" si="13"/>
        <v>116.16279499999999</v>
      </c>
      <c r="I111" s="13">
        <f t="shared" si="5"/>
        <v>1886.4837907999997</v>
      </c>
      <c r="J111" s="126"/>
      <c r="K111" s="127"/>
      <c r="L111" s="127"/>
      <c r="M111" s="127"/>
      <c r="N111" s="127"/>
      <c r="O111" s="127"/>
      <c r="P111" s="127"/>
    </row>
    <row r="112" spans="1:16" ht="30" x14ac:dyDescent="0.25">
      <c r="A112" s="164">
        <v>93</v>
      </c>
      <c r="B112" s="154" t="s">
        <v>96</v>
      </c>
      <c r="C112" s="113" t="s">
        <v>25</v>
      </c>
      <c r="D112" s="42" t="s">
        <v>24</v>
      </c>
      <c r="E112" s="112" t="s">
        <v>19</v>
      </c>
      <c r="F112" s="20">
        <v>18.350000000000001</v>
      </c>
      <c r="G112" s="13">
        <v>94.85</v>
      </c>
      <c r="H112" s="13">
        <f t="shared" si="13"/>
        <v>116.16279499999999</v>
      </c>
      <c r="I112" s="13">
        <f t="shared" si="5"/>
        <v>2131.5872882499998</v>
      </c>
      <c r="J112" s="126"/>
      <c r="K112" s="127"/>
      <c r="L112" s="127"/>
      <c r="M112" s="127"/>
      <c r="N112" s="127"/>
      <c r="O112" s="127"/>
      <c r="P112" s="127"/>
    </row>
    <row r="113" spans="1:16" ht="30" x14ac:dyDescent="0.25">
      <c r="A113" s="164">
        <v>94</v>
      </c>
      <c r="B113" s="154" t="s">
        <v>95</v>
      </c>
      <c r="C113" s="113" t="s">
        <v>25</v>
      </c>
      <c r="D113" s="42" t="s">
        <v>24</v>
      </c>
      <c r="E113" s="112" t="s">
        <v>19</v>
      </c>
      <c r="F113" s="20">
        <v>8.2799999999999994</v>
      </c>
      <c r="G113" s="13">
        <v>94.85</v>
      </c>
      <c r="H113" s="13">
        <f t="shared" si="13"/>
        <v>116.16279499999999</v>
      </c>
      <c r="I113" s="13">
        <f t="shared" si="5"/>
        <v>961.8279425999998</v>
      </c>
      <c r="J113" s="126"/>
      <c r="K113" s="127"/>
      <c r="L113" s="127"/>
      <c r="M113" s="127"/>
      <c r="N113" s="127"/>
      <c r="O113" s="127"/>
      <c r="P113" s="127"/>
    </row>
    <row r="114" spans="1:16" ht="30" x14ac:dyDescent="0.25">
      <c r="A114" s="164">
        <v>95</v>
      </c>
      <c r="B114" s="154" t="s">
        <v>94</v>
      </c>
      <c r="C114" s="113" t="s">
        <v>25</v>
      </c>
      <c r="D114" s="42" t="s">
        <v>24</v>
      </c>
      <c r="E114" s="112" t="s">
        <v>19</v>
      </c>
      <c r="F114" s="20">
        <v>7.99</v>
      </c>
      <c r="G114" s="13">
        <v>94.85</v>
      </c>
      <c r="H114" s="13">
        <f t="shared" si="13"/>
        <v>116.16279499999999</v>
      </c>
      <c r="I114" s="13">
        <f t="shared" ref="I114:I131" si="14">H114*F114</f>
        <v>928.14073204999988</v>
      </c>
      <c r="J114" s="126"/>
      <c r="K114" s="127"/>
      <c r="L114" s="127"/>
      <c r="M114" s="127"/>
      <c r="N114" s="127"/>
      <c r="O114" s="127"/>
      <c r="P114" s="127"/>
    </row>
    <row r="115" spans="1:16" ht="30" x14ac:dyDescent="0.25">
      <c r="A115" s="164">
        <v>96</v>
      </c>
      <c r="B115" s="154" t="s">
        <v>93</v>
      </c>
      <c r="C115" s="113" t="s">
        <v>25</v>
      </c>
      <c r="D115" s="42" t="s">
        <v>24</v>
      </c>
      <c r="E115" s="112" t="s">
        <v>19</v>
      </c>
      <c r="F115" s="20">
        <v>8.2799999999999994</v>
      </c>
      <c r="G115" s="13">
        <v>94.85</v>
      </c>
      <c r="H115" s="13">
        <f t="shared" si="13"/>
        <v>116.16279499999999</v>
      </c>
      <c r="I115" s="13">
        <f t="shared" si="14"/>
        <v>961.8279425999998</v>
      </c>
      <c r="J115" s="126"/>
      <c r="K115" s="127"/>
      <c r="L115" s="127"/>
      <c r="M115" s="127"/>
      <c r="N115" s="127"/>
      <c r="O115" s="127"/>
      <c r="P115" s="127"/>
    </row>
    <row r="116" spans="1:16" ht="45" x14ac:dyDescent="0.25">
      <c r="A116" s="164">
        <v>97</v>
      </c>
      <c r="B116" s="154" t="s">
        <v>100</v>
      </c>
      <c r="C116" s="113" t="s">
        <v>26</v>
      </c>
      <c r="D116" s="42" t="s">
        <v>27</v>
      </c>
      <c r="E116" s="112" t="s">
        <v>19</v>
      </c>
      <c r="F116" s="20">
        <f>46.38</f>
        <v>46.38</v>
      </c>
      <c r="G116" s="13">
        <v>49.33</v>
      </c>
      <c r="H116" s="13">
        <f t="shared" si="13"/>
        <v>60.414451</v>
      </c>
      <c r="I116" s="13">
        <f t="shared" si="14"/>
        <v>2802.0222373800002</v>
      </c>
      <c r="J116" s="126"/>
      <c r="K116" s="127"/>
      <c r="L116" s="127"/>
      <c r="M116" s="127"/>
      <c r="N116" s="127"/>
      <c r="O116" s="127"/>
      <c r="P116" s="127"/>
    </row>
    <row r="117" spans="1:16" ht="45" x14ac:dyDescent="0.25">
      <c r="A117" s="164">
        <v>98</v>
      </c>
      <c r="B117" s="154" t="s">
        <v>99</v>
      </c>
      <c r="C117" s="113" t="s">
        <v>26</v>
      </c>
      <c r="D117" s="42" t="s">
        <v>27</v>
      </c>
      <c r="E117" s="112" t="s">
        <v>19</v>
      </c>
      <c r="F117" s="20">
        <f>46.98-13.53</f>
        <v>33.449999999999996</v>
      </c>
      <c r="G117" s="13">
        <v>49.33</v>
      </c>
      <c r="H117" s="13">
        <f t="shared" si="13"/>
        <v>60.414451</v>
      </c>
      <c r="I117" s="13">
        <f t="shared" si="14"/>
        <v>2020.8633859499998</v>
      </c>
      <c r="J117" s="126"/>
      <c r="K117" s="127"/>
      <c r="L117" s="127"/>
      <c r="M117" s="127"/>
      <c r="N117" s="127"/>
      <c r="O117" s="127"/>
      <c r="P117" s="127"/>
    </row>
    <row r="118" spans="1:16" ht="45" x14ac:dyDescent="0.25">
      <c r="A118" s="164">
        <v>99</v>
      </c>
      <c r="B118" s="154" t="s">
        <v>98</v>
      </c>
      <c r="C118" s="113" t="s">
        <v>26</v>
      </c>
      <c r="D118" s="42" t="s">
        <v>27</v>
      </c>
      <c r="E118" s="112" t="s">
        <v>19</v>
      </c>
      <c r="F118" s="20">
        <f>29.76-3.36</f>
        <v>26.400000000000002</v>
      </c>
      <c r="G118" s="13">
        <v>49.33</v>
      </c>
      <c r="H118" s="13">
        <f t="shared" si="13"/>
        <v>60.414451</v>
      </c>
      <c r="I118" s="13">
        <f t="shared" si="14"/>
        <v>1594.9415064000002</v>
      </c>
      <c r="J118" s="126"/>
      <c r="K118" s="127"/>
      <c r="L118" s="127"/>
      <c r="M118" s="127"/>
      <c r="N118" s="127"/>
      <c r="O118" s="127"/>
      <c r="P118" s="127"/>
    </row>
    <row r="119" spans="1:16" ht="45" x14ac:dyDescent="0.25">
      <c r="A119" s="164">
        <v>100</v>
      </c>
      <c r="B119" s="154" t="s">
        <v>97</v>
      </c>
      <c r="C119" s="113" t="s">
        <v>26</v>
      </c>
      <c r="D119" s="42" t="s">
        <v>27</v>
      </c>
      <c r="E119" s="112" t="s">
        <v>19</v>
      </c>
      <c r="F119" s="20">
        <f>43.24-4.08-6.18</f>
        <v>32.980000000000004</v>
      </c>
      <c r="G119" s="13">
        <v>49.33</v>
      </c>
      <c r="H119" s="13">
        <f t="shared" si="13"/>
        <v>60.414451</v>
      </c>
      <c r="I119" s="13">
        <f t="shared" si="14"/>
        <v>1992.4685939800002</v>
      </c>
      <c r="J119" s="126"/>
      <c r="K119" s="127"/>
      <c r="L119" s="127"/>
      <c r="M119" s="127"/>
      <c r="N119" s="127"/>
      <c r="O119" s="127"/>
      <c r="P119" s="127"/>
    </row>
    <row r="120" spans="1:16" ht="45" x14ac:dyDescent="0.25">
      <c r="A120" s="164">
        <v>101</v>
      </c>
      <c r="B120" s="154" t="s">
        <v>96</v>
      </c>
      <c r="C120" s="113" t="s">
        <v>26</v>
      </c>
      <c r="D120" s="42" t="s">
        <v>27</v>
      </c>
      <c r="E120" s="112" t="s">
        <v>19</v>
      </c>
      <c r="F120" s="20">
        <f>51.24-6.18</f>
        <v>45.06</v>
      </c>
      <c r="G120" s="13">
        <v>49.33</v>
      </c>
      <c r="H120" s="13">
        <f t="shared" si="13"/>
        <v>60.414451</v>
      </c>
      <c r="I120" s="13">
        <f t="shared" si="14"/>
        <v>2722.2751620600002</v>
      </c>
      <c r="J120" s="126"/>
      <c r="K120" s="127"/>
      <c r="L120" s="127"/>
      <c r="M120" s="127"/>
      <c r="N120" s="127"/>
      <c r="O120" s="127"/>
      <c r="P120" s="127"/>
    </row>
    <row r="121" spans="1:16" ht="45" x14ac:dyDescent="0.25">
      <c r="A121" s="164">
        <v>102</v>
      </c>
      <c r="B121" s="154" t="s">
        <v>95</v>
      </c>
      <c r="C121" s="113" t="s">
        <v>26</v>
      </c>
      <c r="D121" s="42" t="s">
        <v>27</v>
      </c>
      <c r="E121" s="112" t="s">
        <v>19</v>
      </c>
      <c r="F121" s="20">
        <f>26.76</f>
        <v>26.76</v>
      </c>
      <c r="G121" s="13">
        <v>49.33</v>
      </c>
      <c r="H121" s="13">
        <f t="shared" si="13"/>
        <v>60.414451</v>
      </c>
      <c r="I121" s="13">
        <f t="shared" si="14"/>
        <v>1616.69070876</v>
      </c>
      <c r="J121" s="126"/>
      <c r="K121" s="127"/>
      <c r="L121" s="127"/>
      <c r="M121" s="127"/>
      <c r="N121" s="127"/>
      <c r="O121" s="127"/>
      <c r="P121" s="127"/>
    </row>
    <row r="122" spans="1:16" ht="45" x14ac:dyDescent="0.25">
      <c r="A122" s="164">
        <v>103</v>
      </c>
      <c r="B122" s="154" t="s">
        <v>94</v>
      </c>
      <c r="C122" s="113" t="s">
        <v>26</v>
      </c>
      <c r="D122" s="42" t="s">
        <v>27</v>
      </c>
      <c r="E122" s="112" t="s">
        <v>19</v>
      </c>
      <c r="F122" s="20">
        <f>25.64-4.83</f>
        <v>20.810000000000002</v>
      </c>
      <c r="G122" s="13">
        <v>49.33</v>
      </c>
      <c r="H122" s="13">
        <f t="shared" si="13"/>
        <v>60.414451</v>
      </c>
      <c r="I122" s="13">
        <f t="shared" si="14"/>
        <v>1257.2247253100002</v>
      </c>
      <c r="J122" s="126"/>
      <c r="K122" s="127"/>
      <c r="L122" s="127"/>
      <c r="M122" s="127"/>
      <c r="N122" s="127"/>
      <c r="O122" s="127"/>
      <c r="P122" s="127"/>
    </row>
    <row r="123" spans="1:16" ht="45" x14ac:dyDescent="0.25">
      <c r="A123" s="164">
        <v>104</v>
      </c>
      <c r="B123" s="154" t="s">
        <v>93</v>
      </c>
      <c r="C123" s="113" t="s">
        <v>26</v>
      </c>
      <c r="D123" s="42" t="s">
        <v>27</v>
      </c>
      <c r="E123" s="112" t="s">
        <v>19</v>
      </c>
      <c r="F123" s="20">
        <f>26.76-4.83</f>
        <v>21.93</v>
      </c>
      <c r="G123" s="13">
        <v>49.33</v>
      </c>
      <c r="H123" s="13">
        <f t="shared" si="13"/>
        <v>60.414451</v>
      </c>
      <c r="I123" s="13">
        <f t="shared" si="14"/>
        <v>1324.8889104299999</v>
      </c>
      <c r="J123" s="126"/>
      <c r="K123" s="127"/>
      <c r="L123" s="127"/>
      <c r="M123" s="127"/>
      <c r="N123" s="127"/>
      <c r="O123" s="127"/>
      <c r="P123" s="127"/>
    </row>
    <row r="124" spans="1:16" ht="60" x14ac:dyDescent="0.25">
      <c r="A124" s="164">
        <v>105</v>
      </c>
      <c r="B124" s="154" t="s">
        <v>100</v>
      </c>
      <c r="C124" s="12" t="s">
        <v>64</v>
      </c>
      <c r="D124" s="25" t="s">
        <v>63</v>
      </c>
      <c r="E124" s="112" t="s">
        <v>19</v>
      </c>
      <c r="F124" s="20">
        <f>8*2*3.5</f>
        <v>56</v>
      </c>
      <c r="G124" s="13">
        <v>24.55</v>
      </c>
      <c r="H124" s="13">
        <f t="shared" si="13"/>
        <v>30.066385</v>
      </c>
      <c r="I124" s="13">
        <f t="shared" si="14"/>
        <v>1683.71756</v>
      </c>
      <c r="J124" s="126"/>
      <c r="K124" s="127"/>
      <c r="L124" s="127"/>
      <c r="M124" s="127"/>
      <c r="N124" s="127"/>
      <c r="O124" s="127"/>
      <c r="P124" s="127"/>
    </row>
    <row r="125" spans="1:16" ht="60" x14ac:dyDescent="0.25">
      <c r="A125" s="164">
        <v>106</v>
      </c>
      <c r="B125" s="154" t="s">
        <v>99</v>
      </c>
      <c r="C125" s="12" t="s">
        <v>64</v>
      </c>
      <c r="D125" s="25" t="s">
        <v>63</v>
      </c>
      <c r="E125" s="112" t="s">
        <v>19</v>
      </c>
      <c r="F125" s="20">
        <f t="shared" ref="F125:F131" si="15">2*3.5</f>
        <v>7</v>
      </c>
      <c r="G125" s="13">
        <v>24.55</v>
      </c>
      <c r="H125" s="13">
        <f t="shared" si="13"/>
        <v>30.066385</v>
      </c>
      <c r="I125" s="13">
        <f t="shared" si="14"/>
        <v>210.46469500000001</v>
      </c>
      <c r="J125" s="126"/>
      <c r="K125" s="127"/>
      <c r="L125" s="127"/>
      <c r="M125" s="127"/>
      <c r="N125" s="127"/>
      <c r="O125" s="127"/>
      <c r="P125" s="127"/>
    </row>
    <row r="126" spans="1:16" ht="60" x14ac:dyDescent="0.25">
      <c r="A126" s="164">
        <v>107</v>
      </c>
      <c r="B126" s="154" t="s">
        <v>98</v>
      </c>
      <c r="C126" s="12" t="s">
        <v>64</v>
      </c>
      <c r="D126" s="25" t="s">
        <v>63</v>
      </c>
      <c r="E126" s="112" t="s">
        <v>19</v>
      </c>
      <c r="F126" s="20">
        <f t="shared" si="15"/>
        <v>7</v>
      </c>
      <c r="G126" s="13">
        <v>24.55</v>
      </c>
      <c r="H126" s="13">
        <f t="shared" si="13"/>
        <v>30.066385</v>
      </c>
      <c r="I126" s="13">
        <f t="shared" si="14"/>
        <v>210.46469500000001</v>
      </c>
      <c r="J126" s="126"/>
      <c r="K126" s="127"/>
      <c r="L126" s="127"/>
      <c r="M126" s="127"/>
      <c r="N126" s="127"/>
      <c r="O126" s="127"/>
      <c r="P126" s="127"/>
    </row>
    <row r="127" spans="1:16" ht="60" x14ac:dyDescent="0.25">
      <c r="A127" s="164">
        <v>108</v>
      </c>
      <c r="B127" s="154" t="s">
        <v>97</v>
      </c>
      <c r="C127" s="12" t="s">
        <v>64</v>
      </c>
      <c r="D127" s="25" t="s">
        <v>63</v>
      </c>
      <c r="E127" s="112" t="s">
        <v>19</v>
      </c>
      <c r="F127" s="20">
        <f t="shared" si="15"/>
        <v>7</v>
      </c>
      <c r="G127" s="13">
        <v>24.55</v>
      </c>
      <c r="H127" s="13">
        <f t="shared" si="13"/>
        <v>30.066385</v>
      </c>
      <c r="I127" s="13">
        <f t="shared" si="14"/>
        <v>210.46469500000001</v>
      </c>
      <c r="J127" s="126"/>
      <c r="K127" s="127"/>
      <c r="L127" s="127"/>
      <c r="M127" s="127"/>
      <c r="N127" s="127"/>
      <c r="O127" s="127"/>
      <c r="P127" s="127"/>
    </row>
    <row r="128" spans="1:16" ht="60" x14ac:dyDescent="0.25">
      <c r="A128" s="164">
        <v>109</v>
      </c>
      <c r="B128" s="154" t="s">
        <v>96</v>
      </c>
      <c r="C128" s="12" t="s">
        <v>64</v>
      </c>
      <c r="D128" s="25" t="s">
        <v>63</v>
      </c>
      <c r="E128" s="112" t="s">
        <v>19</v>
      </c>
      <c r="F128" s="20">
        <f t="shared" si="15"/>
        <v>7</v>
      </c>
      <c r="G128" s="13">
        <v>24.55</v>
      </c>
      <c r="H128" s="13">
        <f t="shared" si="13"/>
        <v>30.066385</v>
      </c>
      <c r="I128" s="13">
        <f t="shared" si="14"/>
        <v>210.46469500000001</v>
      </c>
      <c r="J128" s="126"/>
      <c r="K128" s="127"/>
      <c r="L128" s="127"/>
      <c r="M128" s="127"/>
      <c r="N128" s="127"/>
      <c r="O128" s="127"/>
      <c r="P128" s="127"/>
    </row>
    <row r="129" spans="1:16" ht="60" x14ac:dyDescent="0.25">
      <c r="A129" s="164">
        <v>110</v>
      </c>
      <c r="B129" s="154" t="s">
        <v>95</v>
      </c>
      <c r="C129" s="12" t="s">
        <v>64</v>
      </c>
      <c r="D129" s="25" t="s">
        <v>63</v>
      </c>
      <c r="E129" s="112" t="s">
        <v>19</v>
      </c>
      <c r="F129" s="20">
        <f t="shared" si="15"/>
        <v>7</v>
      </c>
      <c r="G129" s="13">
        <v>24.55</v>
      </c>
      <c r="H129" s="13">
        <f t="shared" si="13"/>
        <v>30.066385</v>
      </c>
      <c r="I129" s="13">
        <f t="shared" si="14"/>
        <v>210.46469500000001</v>
      </c>
      <c r="J129" s="126"/>
      <c r="K129" s="127"/>
      <c r="L129" s="127"/>
      <c r="M129" s="127"/>
      <c r="N129" s="127"/>
      <c r="O129" s="127"/>
      <c r="P129" s="127"/>
    </row>
    <row r="130" spans="1:16" ht="60" x14ac:dyDescent="0.25">
      <c r="A130" s="164">
        <v>111</v>
      </c>
      <c r="B130" s="154" t="s">
        <v>94</v>
      </c>
      <c r="C130" s="12" t="s">
        <v>64</v>
      </c>
      <c r="D130" s="25" t="s">
        <v>63</v>
      </c>
      <c r="E130" s="112" t="s">
        <v>19</v>
      </c>
      <c r="F130" s="20">
        <f t="shared" si="15"/>
        <v>7</v>
      </c>
      <c r="G130" s="13">
        <v>24.55</v>
      </c>
      <c r="H130" s="13">
        <f t="shared" si="13"/>
        <v>30.066385</v>
      </c>
      <c r="I130" s="13">
        <f t="shared" si="14"/>
        <v>210.46469500000001</v>
      </c>
      <c r="J130" s="126"/>
      <c r="K130" s="127"/>
      <c r="L130" s="127"/>
      <c r="M130" s="127"/>
      <c r="N130" s="127"/>
      <c r="O130" s="127"/>
      <c r="P130" s="127"/>
    </row>
    <row r="131" spans="1:16" ht="60" x14ac:dyDescent="0.25">
      <c r="A131" s="164">
        <v>112</v>
      </c>
      <c r="B131" s="154" t="s">
        <v>93</v>
      </c>
      <c r="C131" s="12" t="s">
        <v>64</v>
      </c>
      <c r="D131" s="25" t="s">
        <v>63</v>
      </c>
      <c r="E131" s="112" t="s">
        <v>19</v>
      </c>
      <c r="F131" s="20">
        <f t="shared" si="15"/>
        <v>7</v>
      </c>
      <c r="G131" s="13">
        <v>24.55</v>
      </c>
      <c r="H131" s="13">
        <f t="shared" si="13"/>
        <v>30.066385</v>
      </c>
      <c r="I131" s="13">
        <f t="shared" si="14"/>
        <v>210.46469500000001</v>
      </c>
      <c r="J131" s="126"/>
      <c r="K131" s="127"/>
      <c r="L131" s="127"/>
      <c r="M131" s="127"/>
      <c r="N131" s="127"/>
      <c r="O131" s="127"/>
      <c r="P131" s="127"/>
    </row>
    <row r="132" spans="1:16" x14ac:dyDescent="0.25">
      <c r="A132" s="164">
        <v>113</v>
      </c>
      <c r="B132" s="211" t="s">
        <v>112</v>
      </c>
      <c r="C132" s="211"/>
      <c r="D132" s="211"/>
      <c r="E132" s="211"/>
      <c r="F132" s="211"/>
      <c r="G132" s="211"/>
      <c r="H132" s="211"/>
      <c r="I132" s="30">
        <f>SUM(I133:I156)</f>
        <v>217071.79776218804</v>
      </c>
      <c r="J132" s="233"/>
      <c r="K132" s="234"/>
      <c r="L132" s="234"/>
      <c r="M132" s="234"/>
      <c r="N132" s="234"/>
      <c r="O132" s="234"/>
      <c r="P132" s="235"/>
    </row>
    <row r="133" spans="1:16" ht="60" x14ac:dyDescent="0.25">
      <c r="A133" s="164">
        <v>114</v>
      </c>
      <c r="B133" s="163" t="s">
        <v>157</v>
      </c>
      <c r="C133" s="12" t="s">
        <v>158</v>
      </c>
      <c r="D133" s="25" t="s">
        <v>160</v>
      </c>
      <c r="E133" s="112" t="s">
        <v>19</v>
      </c>
      <c r="F133" s="20">
        <f>10.64+2.54</f>
        <v>13.18</v>
      </c>
      <c r="G133" s="13">
        <v>299.14</v>
      </c>
      <c r="H133" s="13">
        <f t="shared" ref="H133:H149" si="16">G133+G133*B$18</f>
        <v>366.35675800000001</v>
      </c>
      <c r="I133" s="13">
        <f t="shared" ref="I133:I156" si="17">H133*F133</f>
        <v>4828.5820704400003</v>
      </c>
      <c r="J133" s="126"/>
      <c r="K133" s="127"/>
      <c r="L133" s="127"/>
      <c r="M133" s="127"/>
      <c r="N133" s="127"/>
      <c r="O133" s="127"/>
      <c r="P133" s="127"/>
    </row>
    <row r="134" spans="1:16" ht="105" x14ac:dyDescent="0.25">
      <c r="A134" s="164">
        <v>115</v>
      </c>
      <c r="B134" s="154" t="s">
        <v>114</v>
      </c>
      <c r="C134" s="12" t="s">
        <v>159</v>
      </c>
      <c r="D134" s="25" t="s">
        <v>161</v>
      </c>
      <c r="E134" s="112" t="s">
        <v>8</v>
      </c>
      <c r="F134" s="20">
        <v>48.06</v>
      </c>
      <c r="G134" s="13">
        <v>68.150000000000006</v>
      </c>
      <c r="H134" s="13">
        <f t="shared" si="16"/>
        <v>83.463305000000005</v>
      </c>
      <c r="I134" s="13">
        <f t="shared" si="17"/>
        <v>4011.2464383000006</v>
      </c>
      <c r="J134" s="126"/>
      <c r="K134" s="127"/>
      <c r="L134" s="127"/>
      <c r="M134" s="127"/>
      <c r="N134" s="127"/>
      <c r="O134" s="127"/>
      <c r="P134" s="127"/>
    </row>
    <row r="135" spans="1:16" ht="105" x14ac:dyDescent="0.25">
      <c r="A135" s="164">
        <v>116</v>
      </c>
      <c r="B135" s="154" t="s">
        <v>115</v>
      </c>
      <c r="C135" s="12" t="s">
        <v>159</v>
      </c>
      <c r="D135" s="25" t="s">
        <v>161</v>
      </c>
      <c r="E135" s="112" t="s">
        <v>8</v>
      </c>
      <c r="F135" s="20">
        <v>47.76</v>
      </c>
      <c r="G135" s="13">
        <v>68.150000000000006</v>
      </c>
      <c r="H135" s="13">
        <f t="shared" si="16"/>
        <v>83.463305000000005</v>
      </c>
      <c r="I135" s="13">
        <f t="shared" si="17"/>
        <v>3986.2074468000001</v>
      </c>
      <c r="J135" s="126"/>
      <c r="K135" s="127"/>
      <c r="L135" s="127"/>
      <c r="M135" s="127"/>
      <c r="N135" s="127"/>
      <c r="O135" s="127"/>
      <c r="P135" s="127"/>
    </row>
    <row r="136" spans="1:16" ht="105" x14ac:dyDescent="0.25">
      <c r="A136" s="164">
        <v>117</v>
      </c>
      <c r="B136" s="154" t="s">
        <v>103</v>
      </c>
      <c r="C136" s="12" t="s">
        <v>159</v>
      </c>
      <c r="D136" s="25" t="s">
        <v>161</v>
      </c>
      <c r="E136" s="112" t="s">
        <v>8</v>
      </c>
      <c r="F136" s="20">
        <v>51.6</v>
      </c>
      <c r="G136" s="13">
        <v>68.150000000000006</v>
      </c>
      <c r="H136" s="13">
        <f t="shared" si="16"/>
        <v>83.463305000000005</v>
      </c>
      <c r="I136" s="13">
        <f t="shared" si="17"/>
        <v>4306.7065380000004</v>
      </c>
      <c r="J136" s="126"/>
      <c r="K136" s="127"/>
      <c r="L136" s="127"/>
      <c r="M136" s="127"/>
      <c r="N136" s="127"/>
      <c r="O136" s="127"/>
      <c r="P136" s="127"/>
    </row>
    <row r="137" spans="1:16" ht="105" x14ac:dyDescent="0.25">
      <c r="A137" s="164">
        <v>118</v>
      </c>
      <c r="B137" s="154" t="s">
        <v>116</v>
      </c>
      <c r="C137" s="12" t="s">
        <v>159</v>
      </c>
      <c r="D137" s="25" t="s">
        <v>161</v>
      </c>
      <c r="E137" s="112" t="s">
        <v>8</v>
      </c>
      <c r="F137" s="20">
        <v>51.6</v>
      </c>
      <c r="G137" s="13">
        <v>68.150000000000006</v>
      </c>
      <c r="H137" s="13">
        <f t="shared" si="16"/>
        <v>83.463305000000005</v>
      </c>
      <c r="I137" s="13">
        <f t="shared" si="17"/>
        <v>4306.7065380000004</v>
      </c>
      <c r="J137" s="126"/>
      <c r="K137" s="127"/>
      <c r="L137" s="127"/>
      <c r="M137" s="127"/>
      <c r="N137" s="127"/>
      <c r="O137" s="127"/>
      <c r="P137" s="127"/>
    </row>
    <row r="138" spans="1:16" ht="45" x14ac:dyDescent="0.25">
      <c r="A138" s="164">
        <v>119</v>
      </c>
      <c r="B138" s="154" t="s">
        <v>114</v>
      </c>
      <c r="C138" s="12" t="s">
        <v>176</v>
      </c>
      <c r="D138" s="25" t="s">
        <v>175</v>
      </c>
      <c r="E138" s="112" t="s">
        <v>8</v>
      </c>
      <c r="F138" s="20">
        <v>48.06</v>
      </c>
      <c r="G138" s="13">
        <v>21.09</v>
      </c>
      <c r="H138" s="13">
        <f t="shared" si="16"/>
        <v>25.828923</v>
      </c>
      <c r="I138" s="13">
        <f t="shared" si="17"/>
        <v>1241.3380393800001</v>
      </c>
      <c r="J138" s="126"/>
      <c r="K138" s="127"/>
      <c r="L138" s="127"/>
      <c r="M138" s="127"/>
      <c r="N138" s="127"/>
      <c r="O138" s="127"/>
      <c r="P138" s="127"/>
    </row>
    <row r="139" spans="1:16" ht="45" x14ac:dyDescent="0.25">
      <c r="A139" s="164">
        <v>120</v>
      </c>
      <c r="B139" s="154" t="s">
        <v>115</v>
      </c>
      <c r="C139" s="12" t="s">
        <v>176</v>
      </c>
      <c r="D139" s="25" t="s">
        <v>175</v>
      </c>
      <c r="E139" s="112" t="s">
        <v>8</v>
      </c>
      <c r="F139" s="20">
        <v>47.76</v>
      </c>
      <c r="G139" s="13">
        <v>21.09</v>
      </c>
      <c r="H139" s="13">
        <f t="shared" si="16"/>
        <v>25.828923</v>
      </c>
      <c r="I139" s="13">
        <f t="shared" si="17"/>
        <v>1233.5893624799999</v>
      </c>
      <c r="J139" s="126"/>
      <c r="K139" s="127"/>
      <c r="L139" s="127"/>
      <c r="M139" s="127"/>
      <c r="N139" s="127"/>
      <c r="O139" s="127"/>
      <c r="P139" s="127"/>
    </row>
    <row r="140" spans="1:16" ht="45" x14ac:dyDescent="0.25">
      <c r="A140" s="164">
        <v>121</v>
      </c>
      <c r="B140" s="154" t="s">
        <v>103</v>
      </c>
      <c r="C140" s="12" t="s">
        <v>176</v>
      </c>
      <c r="D140" s="25" t="s">
        <v>175</v>
      </c>
      <c r="E140" s="112" t="s">
        <v>8</v>
      </c>
      <c r="F140" s="20">
        <v>51.6</v>
      </c>
      <c r="G140" s="13">
        <v>21.09</v>
      </c>
      <c r="H140" s="13">
        <f t="shared" si="16"/>
        <v>25.828923</v>
      </c>
      <c r="I140" s="13">
        <f t="shared" si="17"/>
        <v>1332.7724267999999</v>
      </c>
      <c r="J140" s="126"/>
      <c r="K140" s="127"/>
      <c r="L140" s="127"/>
      <c r="M140" s="127"/>
      <c r="N140" s="127"/>
      <c r="O140" s="127"/>
      <c r="P140" s="127"/>
    </row>
    <row r="141" spans="1:16" ht="45" x14ac:dyDescent="0.25">
      <c r="A141" s="164">
        <v>122</v>
      </c>
      <c r="B141" s="154" t="s">
        <v>116</v>
      </c>
      <c r="C141" s="12" t="s">
        <v>176</v>
      </c>
      <c r="D141" s="25" t="s">
        <v>175</v>
      </c>
      <c r="E141" s="112" t="s">
        <v>8</v>
      </c>
      <c r="F141" s="20">
        <v>51.6</v>
      </c>
      <c r="G141" s="13">
        <v>21.09</v>
      </c>
      <c r="H141" s="13">
        <f t="shared" si="16"/>
        <v>25.828923</v>
      </c>
      <c r="I141" s="13">
        <f t="shared" si="17"/>
        <v>1332.7724267999999</v>
      </c>
      <c r="J141" s="126"/>
      <c r="K141" s="127"/>
      <c r="L141" s="127"/>
      <c r="M141" s="127"/>
      <c r="N141" s="127"/>
      <c r="O141" s="127"/>
      <c r="P141" s="127"/>
    </row>
    <row r="142" spans="1:16" ht="30" x14ac:dyDescent="0.25">
      <c r="A142" s="164">
        <v>123</v>
      </c>
      <c r="B142" s="154"/>
      <c r="C142" s="12" t="s">
        <v>163</v>
      </c>
      <c r="D142" s="25" t="s">
        <v>162</v>
      </c>
      <c r="E142" s="112" t="s">
        <v>19</v>
      </c>
      <c r="F142" s="20">
        <v>160.71</v>
      </c>
      <c r="G142" s="13">
        <v>63.08</v>
      </c>
      <c r="H142" s="13">
        <f t="shared" si="16"/>
        <v>77.254075999999998</v>
      </c>
      <c r="I142" s="13">
        <f t="shared" si="17"/>
        <v>12415.502553960001</v>
      </c>
      <c r="J142" s="126"/>
      <c r="K142" s="127"/>
      <c r="L142" s="127"/>
      <c r="M142" s="127"/>
      <c r="N142" s="127"/>
      <c r="O142" s="127"/>
      <c r="P142" s="127"/>
    </row>
    <row r="143" spans="1:16" ht="105" x14ac:dyDescent="0.25">
      <c r="A143" s="164">
        <v>124</v>
      </c>
      <c r="B143" s="154" t="s">
        <v>164</v>
      </c>
      <c r="C143" s="12" t="s">
        <v>165</v>
      </c>
      <c r="D143" s="25" t="s">
        <v>166</v>
      </c>
      <c r="E143" s="112" t="s">
        <v>8</v>
      </c>
      <c r="F143" s="20">
        <f>12.94*2.7-1*2.1</f>
        <v>32.838000000000001</v>
      </c>
      <c r="G143" s="13">
        <v>54.41</v>
      </c>
      <c r="H143" s="13">
        <f t="shared" si="16"/>
        <v>66.635926999999995</v>
      </c>
      <c r="I143" s="13">
        <f t="shared" si="17"/>
        <v>2188.1905708260001</v>
      </c>
      <c r="J143" s="126"/>
      <c r="K143" s="127"/>
      <c r="L143" s="127"/>
      <c r="M143" s="127"/>
      <c r="N143" s="127"/>
      <c r="O143" s="127"/>
      <c r="P143" s="127"/>
    </row>
    <row r="144" spans="1:16" ht="45" x14ac:dyDescent="0.25">
      <c r="A144" s="164">
        <v>125</v>
      </c>
      <c r="B144" s="154" t="s">
        <v>164</v>
      </c>
      <c r="C144" s="12" t="s">
        <v>176</v>
      </c>
      <c r="D144" s="25" t="s">
        <v>175</v>
      </c>
      <c r="E144" s="112" t="s">
        <v>8</v>
      </c>
      <c r="F144" s="20">
        <f>12.94*2.7-1*2.1</f>
        <v>32.838000000000001</v>
      </c>
      <c r="G144" s="13">
        <v>21.09</v>
      </c>
      <c r="H144" s="13">
        <f t="shared" si="16"/>
        <v>25.828923</v>
      </c>
      <c r="I144" s="13">
        <f t="shared" si="17"/>
        <v>848.17017347399997</v>
      </c>
      <c r="J144" s="126"/>
      <c r="K144" s="127"/>
      <c r="L144" s="127"/>
      <c r="M144" s="127"/>
      <c r="N144" s="127"/>
      <c r="O144" s="127"/>
      <c r="P144" s="127"/>
    </row>
    <row r="145" spans="1:16" ht="105" x14ac:dyDescent="0.25">
      <c r="A145" s="164">
        <v>126</v>
      </c>
      <c r="B145" s="154" t="s">
        <v>164</v>
      </c>
      <c r="C145" s="12" t="s">
        <v>159</v>
      </c>
      <c r="D145" s="25" t="s">
        <v>161</v>
      </c>
      <c r="E145" s="112" t="s">
        <v>8</v>
      </c>
      <c r="F145" s="20">
        <v>6.48</v>
      </c>
      <c r="G145" s="13">
        <v>68.150000000000006</v>
      </c>
      <c r="H145" s="13">
        <f t="shared" si="16"/>
        <v>83.463305000000005</v>
      </c>
      <c r="I145" s="13">
        <f t="shared" si="17"/>
        <v>540.8422164000001</v>
      </c>
      <c r="J145" s="126"/>
      <c r="K145" s="127"/>
      <c r="L145" s="127"/>
      <c r="M145" s="127"/>
      <c r="N145" s="127"/>
      <c r="O145" s="127"/>
      <c r="P145" s="127"/>
    </row>
    <row r="146" spans="1:16" ht="45" x14ac:dyDescent="0.25">
      <c r="A146" s="164">
        <v>127</v>
      </c>
      <c r="B146" s="154" t="s">
        <v>126</v>
      </c>
      <c r="C146" s="12" t="s">
        <v>169</v>
      </c>
      <c r="D146" s="25" t="s">
        <v>167</v>
      </c>
      <c r="E146" s="112" t="s">
        <v>8</v>
      </c>
      <c r="F146" s="20">
        <f>3*8</f>
        <v>24</v>
      </c>
      <c r="G146" s="13">
        <v>135.80000000000001</v>
      </c>
      <c r="H146" s="13">
        <f t="shared" si="16"/>
        <v>166.31426000000002</v>
      </c>
      <c r="I146" s="13">
        <f t="shared" si="17"/>
        <v>3991.5422400000007</v>
      </c>
      <c r="J146" s="126"/>
      <c r="K146" s="127"/>
      <c r="L146" s="127"/>
      <c r="M146" s="127"/>
      <c r="N146" s="127"/>
      <c r="O146" s="127"/>
      <c r="P146" s="127"/>
    </row>
    <row r="147" spans="1:16" ht="45" x14ac:dyDescent="0.25">
      <c r="A147" s="164">
        <v>128</v>
      </c>
      <c r="B147" s="154" t="s">
        <v>127</v>
      </c>
      <c r="C147" s="12" t="s">
        <v>169</v>
      </c>
      <c r="D147" s="25" t="s">
        <v>168</v>
      </c>
      <c r="E147" s="112" t="s">
        <v>8</v>
      </c>
      <c r="F147" s="20">
        <f>3*8.5</f>
        <v>25.5</v>
      </c>
      <c r="G147" s="13">
        <v>135.80000000000001</v>
      </c>
      <c r="H147" s="13">
        <f t="shared" si="16"/>
        <v>166.31426000000002</v>
      </c>
      <c r="I147" s="13">
        <f t="shared" si="17"/>
        <v>4241.0136300000004</v>
      </c>
      <c r="J147" s="126"/>
      <c r="K147" s="127"/>
      <c r="L147" s="127"/>
      <c r="M147" s="127"/>
      <c r="N147" s="127"/>
      <c r="O147" s="127"/>
      <c r="P147" s="127"/>
    </row>
    <row r="148" spans="1:16" x14ac:dyDescent="0.25">
      <c r="A148" s="164">
        <v>129</v>
      </c>
      <c r="B148" s="154" t="s">
        <v>126</v>
      </c>
      <c r="C148" s="12" t="s">
        <v>170</v>
      </c>
      <c r="D148" s="25" t="s">
        <v>171</v>
      </c>
      <c r="E148" s="112" t="s">
        <v>8</v>
      </c>
      <c r="F148" s="20">
        <f>3*8</f>
        <v>24</v>
      </c>
      <c r="G148" s="13">
        <f>PO!G148</f>
        <v>2640</v>
      </c>
      <c r="H148" s="13">
        <f t="shared" si="16"/>
        <v>3233.2080000000001</v>
      </c>
      <c r="I148" s="13">
        <f t="shared" si="17"/>
        <v>77596.991999999998</v>
      </c>
      <c r="J148" s="126"/>
      <c r="K148" s="127"/>
      <c r="L148" s="127"/>
      <c r="M148" s="127"/>
      <c r="N148" s="127"/>
      <c r="O148" s="127"/>
      <c r="P148" s="127"/>
    </row>
    <row r="149" spans="1:16" x14ac:dyDescent="0.25">
      <c r="A149" s="164">
        <v>130</v>
      </c>
      <c r="B149" s="154" t="s">
        <v>127</v>
      </c>
      <c r="C149" s="12" t="s">
        <v>170</v>
      </c>
      <c r="D149" s="25" t="s">
        <v>171</v>
      </c>
      <c r="E149" s="112" t="s">
        <v>8</v>
      </c>
      <c r="F149" s="20">
        <f>3*8.5</f>
        <v>25.5</v>
      </c>
      <c r="G149" s="13">
        <f>PO!G149</f>
        <v>2805</v>
      </c>
      <c r="H149" s="13">
        <f t="shared" si="16"/>
        <v>3435.2835</v>
      </c>
      <c r="I149" s="13">
        <f t="shared" si="17"/>
        <v>87599.729250000004</v>
      </c>
      <c r="J149" s="126"/>
      <c r="K149" s="127"/>
      <c r="L149" s="127"/>
      <c r="M149" s="127"/>
      <c r="N149" s="127"/>
      <c r="O149" s="127"/>
      <c r="P149" s="127"/>
    </row>
    <row r="150" spans="1:16" ht="60" x14ac:dyDescent="0.25">
      <c r="A150" s="164">
        <v>131</v>
      </c>
      <c r="B150" s="207" t="s">
        <v>172</v>
      </c>
      <c r="C150" s="160" t="s">
        <v>18</v>
      </c>
      <c r="D150" s="163" t="s">
        <v>9</v>
      </c>
      <c r="E150" s="112" t="s">
        <v>8</v>
      </c>
      <c r="F150" s="20">
        <f>4.48*0.6</f>
        <v>2.6880000000000002</v>
      </c>
      <c r="G150" s="13">
        <v>38.659999999999997</v>
      </c>
      <c r="H150" s="13">
        <f>G150+G150*B$18</f>
        <v>47.346902</v>
      </c>
      <c r="I150" s="13">
        <f t="shared" si="17"/>
        <v>127.26847257600001</v>
      </c>
      <c r="J150" s="126"/>
      <c r="K150" s="127"/>
      <c r="L150" s="127"/>
      <c r="M150" s="127"/>
      <c r="N150" s="127"/>
      <c r="O150" s="127"/>
      <c r="P150" s="127"/>
    </row>
    <row r="151" spans="1:16" ht="60" x14ac:dyDescent="0.25">
      <c r="A151" s="164">
        <v>132</v>
      </c>
      <c r="B151" s="207"/>
      <c r="C151" s="160" t="s">
        <v>12</v>
      </c>
      <c r="D151" s="163" t="s">
        <v>14</v>
      </c>
      <c r="E151" s="112" t="s">
        <v>8</v>
      </c>
      <c r="F151" s="20">
        <f>2*F150</f>
        <v>5.3760000000000003</v>
      </c>
      <c r="G151" s="13">
        <v>5.51</v>
      </c>
      <c r="H151" s="13">
        <f t="shared" ref="H151:H155" si="18">G151+G151*B$18</f>
        <v>6.7480969999999996</v>
      </c>
      <c r="I151" s="13">
        <f t="shared" si="17"/>
        <v>36.277769472000003</v>
      </c>
      <c r="J151" s="126"/>
      <c r="K151" s="127"/>
      <c r="L151" s="127"/>
      <c r="M151" s="127"/>
      <c r="N151" s="127"/>
      <c r="O151" s="127"/>
      <c r="P151" s="127"/>
    </row>
    <row r="152" spans="1:16" ht="45" x14ac:dyDescent="0.25">
      <c r="A152" s="164">
        <v>133</v>
      </c>
      <c r="B152" s="207"/>
      <c r="C152" s="160" t="s">
        <v>13</v>
      </c>
      <c r="D152" s="163" t="s">
        <v>15</v>
      </c>
      <c r="E152" s="112" t="s">
        <v>8</v>
      </c>
      <c r="F152" s="20">
        <f>F151</f>
        <v>5.3760000000000003</v>
      </c>
      <c r="G152" s="13">
        <v>20.43</v>
      </c>
      <c r="H152" s="13">
        <f t="shared" si="18"/>
        <v>25.020620999999998</v>
      </c>
      <c r="I152" s="13">
        <f t="shared" si="17"/>
        <v>134.510858496</v>
      </c>
      <c r="J152" s="126"/>
      <c r="K152" s="127"/>
      <c r="L152" s="127"/>
      <c r="M152" s="127"/>
      <c r="N152" s="127"/>
      <c r="O152" s="127"/>
      <c r="P152" s="127"/>
    </row>
    <row r="153" spans="1:16" ht="45" x14ac:dyDescent="0.25">
      <c r="A153" s="164">
        <v>134</v>
      </c>
      <c r="B153" s="207"/>
      <c r="C153" s="160" t="s">
        <v>17</v>
      </c>
      <c r="D153" s="163" t="s">
        <v>16</v>
      </c>
      <c r="E153" s="112" t="s">
        <v>8</v>
      </c>
      <c r="F153" s="20">
        <f>F152</f>
        <v>5.3760000000000003</v>
      </c>
      <c r="G153" s="13">
        <v>19.2</v>
      </c>
      <c r="H153" s="13">
        <f t="shared" si="18"/>
        <v>23.514240000000001</v>
      </c>
      <c r="I153" s="13">
        <f t="shared" si="17"/>
        <v>126.41255424000001</v>
      </c>
      <c r="J153" s="126"/>
      <c r="K153" s="127"/>
      <c r="L153" s="127"/>
      <c r="M153" s="127"/>
      <c r="N153" s="127"/>
      <c r="O153" s="127"/>
      <c r="P153" s="127"/>
    </row>
    <row r="154" spans="1:16" x14ac:dyDescent="0.25">
      <c r="A154" s="164">
        <v>135</v>
      </c>
      <c r="B154" s="207"/>
      <c r="C154" s="157" t="s">
        <v>174</v>
      </c>
      <c r="D154" s="141" t="s">
        <v>173</v>
      </c>
      <c r="E154" s="112" t="s">
        <v>19</v>
      </c>
      <c r="F154" s="20">
        <v>4.68</v>
      </c>
      <c r="G154" s="13">
        <v>106.8</v>
      </c>
      <c r="H154" s="13">
        <f t="shared" si="18"/>
        <v>130.79795999999999</v>
      </c>
      <c r="I154" s="13">
        <f t="shared" si="17"/>
        <v>612.13445279999996</v>
      </c>
      <c r="J154" s="126"/>
      <c r="K154" s="127"/>
      <c r="L154" s="127"/>
      <c r="M154" s="127"/>
      <c r="N154" s="127"/>
      <c r="O154" s="127"/>
      <c r="P154" s="127"/>
    </row>
    <row r="155" spans="1:16" ht="60" x14ac:dyDescent="0.25">
      <c r="A155" s="164">
        <v>136</v>
      </c>
      <c r="B155" s="207"/>
      <c r="C155" s="144" t="s">
        <v>86</v>
      </c>
      <c r="D155" s="147" t="s">
        <v>87</v>
      </c>
      <c r="E155" s="112" t="s">
        <v>8</v>
      </c>
      <c r="F155" s="20">
        <f>0.2*4.68</f>
        <v>0.93599999999999994</v>
      </c>
      <c r="G155" s="13">
        <v>11.82</v>
      </c>
      <c r="H155" s="13">
        <f t="shared" si="18"/>
        <v>14.475954000000002</v>
      </c>
      <c r="I155" s="13">
        <f t="shared" si="17"/>
        <v>13.549492944000001</v>
      </c>
      <c r="J155" s="126"/>
      <c r="K155" s="127"/>
      <c r="L155" s="127"/>
      <c r="M155" s="127"/>
      <c r="N155" s="127"/>
      <c r="O155" s="127"/>
      <c r="P155" s="127"/>
    </row>
    <row r="156" spans="1:16" ht="45" x14ac:dyDescent="0.25">
      <c r="A156" s="164">
        <v>137</v>
      </c>
      <c r="B156" s="207"/>
      <c r="C156" s="12" t="s">
        <v>176</v>
      </c>
      <c r="D156" s="25" t="s">
        <v>175</v>
      </c>
      <c r="E156" s="112" t="s">
        <v>8</v>
      </c>
      <c r="F156" s="20">
        <f>F155</f>
        <v>0.93599999999999994</v>
      </c>
      <c r="G156" s="13">
        <v>21.09</v>
      </c>
      <c r="H156" s="13">
        <f>G156+G156*C$18</f>
        <v>21.09</v>
      </c>
      <c r="I156" s="13">
        <f t="shared" si="17"/>
        <v>19.74024</v>
      </c>
      <c r="J156" s="126"/>
      <c r="K156" s="127"/>
      <c r="L156" s="127"/>
      <c r="M156" s="127"/>
      <c r="N156" s="127"/>
      <c r="O156" s="127"/>
      <c r="P156" s="127"/>
    </row>
    <row r="157" spans="1:16" x14ac:dyDescent="0.25">
      <c r="A157" s="164">
        <v>138</v>
      </c>
      <c r="B157" s="212" t="s">
        <v>80</v>
      </c>
      <c r="C157" s="212"/>
      <c r="D157" s="212"/>
      <c r="E157" s="212"/>
      <c r="F157" s="212"/>
      <c r="G157" s="212"/>
      <c r="H157" s="212"/>
      <c r="I157" s="30">
        <f>SUM(I158:I273)</f>
        <v>62001.400420374994</v>
      </c>
      <c r="J157" s="233"/>
      <c r="K157" s="234"/>
      <c r="L157" s="234"/>
      <c r="M157" s="234"/>
      <c r="N157" s="234"/>
      <c r="O157" s="234"/>
      <c r="P157" s="235"/>
    </row>
    <row r="158" spans="1:16" ht="75" x14ac:dyDescent="0.25">
      <c r="A158" s="164">
        <v>139</v>
      </c>
      <c r="B158" s="209" t="s">
        <v>104</v>
      </c>
      <c r="C158" s="112" t="s">
        <v>150</v>
      </c>
      <c r="D158" s="163" t="s">
        <v>147</v>
      </c>
      <c r="E158" s="112" t="s">
        <v>146</v>
      </c>
      <c r="F158" s="112">
        <v>6</v>
      </c>
      <c r="G158" s="112">
        <v>12</v>
      </c>
      <c r="H158" s="13">
        <f t="shared" ref="H158:H221" si="19">G158+G158*B$18</f>
        <v>14.696400000000001</v>
      </c>
      <c r="I158" s="13">
        <f t="shared" ref="I158:I221" si="20">H158*F158</f>
        <v>88.178400000000011</v>
      </c>
      <c r="J158" s="126"/>
      <c r="K158" s="127"/>
      <c r="L158" s="127"/>
      <c r="M158" s="127"/>
      <c r="N158" s="127"/>
      <c r="O158" s="127"/>
      <c r="P158" s="127"/>
    </row>
    <row r="159" spans="1:16" ht="45" x14ac:dyDescent="0.25">
      <c r="A159" s="164">
        <v>140</v>
      </c>
      <c r="B159" s="209"/>
      <c r="C159" s="112" t="s">
        <v>149</v>
      </c>
      <c r="D159" s="163" t="s">
        <v>148</v>
      </c>
      <c r="E159" s="112" t="s">
        <v>19</v>
      </c>
      <c r="F159" s="112">
        <v>6</v>
      </c>
      <c r="G159" s="142">
        <v>6.52</v>
      </c>
      <c r="H159" s="13">
        <f t="shared" si="19"/>
        <v>7.9850439999999994</v>
      </c>
      <c r="I159" s="13">
        <f t="shared" si="20"/>
        <v>47.910263999999998</v>
      </c>
      <c r="J159" s="126"/>
      <c r="K159" s="127"/>
      <c r="L159" s="127"/>
      <c r="M159" s="127"/>
      <c r="N159" s="127"/>
      <c r="O159" s="127"/>
      <c r="P159" s="127"/>
    </row>
    <row r="160" spans="1:16" ht="45" x14ac:dyDescent="0.25">
      <c r="A160" s="164">
        <v>141</v>
      </c>
      <c r="B160" s="207" t="s">
        <v>114</v>
      </c>
      <c r="C160" s="12" t="s">
        <v>68</v>
      </c>
      <c r="D160" s="25" t="s">
        <v>69</v>
      </c>
      <c r="E160" s="112" t="s">
        <v>8</v>
      </c>
      <c r="F160" s="20">
        <f>27.89*3.9-F162</f>
        <v>90.816000000000003</v>
      </c>
      <c r="G160" s="13">
        <v>8.64</v>
      </c>
      <c r="H160" s="13">
        <f t="shared" si="19"/>
        <v>10.581408000000001</v>
      </c>
      <c r="I160" s="13">
        <f t="shared" si="20"/>
        <v>960.96114892800017</v>
      </c>
      <c r="J160" s="126"/>
      <c r="K160" s="127"/>
      <c r="L160" s="127"/>
      <c r="M160" s="127"/>
      <c r="N160" s="127"/>
      <c r="O160" s="127"/>
      <c r="P160" s="127"/>
    </row>
    <row r="161" spans="1:16" ht="60" x14ac:dyDescent="0.25">
      <c r="A161" s="164">
        <v>142</v>
      </c>
      <c r="B161" s="207"/>
      <c r="C161" s="12" t="s">
        <v>70</v>
      </c>
      <c r="D161" s="25" t="s">
        <v>71</v>
      </c>
      <c r="E161" s="112" t="s">
        <v>8</v>
      </c>
      <c r="F161" s="20">
        <f>F160</f>
        <v>90.816000000000003</v>
      </c>
      <c r="G161" s="13">
        <v>4.21</v>
      </c>
      <c r="H161" s="13">
        <f t="shared" si="19"/>
        <v>5.1559869999999997</v>
      </c>
      <c r="I161" s="13">
        <f t="shared" si="20"/>
        <v>468.24611539199998</v>
      </c>
      <c r="J161" s="126"/>
      <c r="K161" s="127"/>
      <c r="L161" s="127"/>
      <c r="M161" s="127"/>
      <c r="N161" s="127"/>
      <c r="O161" s="127"/>
      <c r="P161" s="127"/>
    </row>
    <row r="162" spans="1:16" ht="60" x14ac:dyDescent="0.25">
      <c r="A162" s="164">
        <v>143</v>
      </c>
      <c r="B162" s="207"/>
      <c r="C162" s="12" t="s">
        <v>72</v>
      </c>
      <c r="D162" s="163" t="s">
        <v>177</v>
      </c>
      <c r="E162" s="112" t="s">
        <v>8</v>
      </c>
      <c r="F162" s="20">
        <f>1.05*3.1*5+0.8*2.1</f>
        <v>17.955000000000002</v>
      </c>
      <c r="G162" s="13">
        <v>22.57</v>
      </c>
      <c r="H162" s="13">
        <f t="shared" si="19"/>
        <v>27.641479</v>
      </c>
      <c r="I162" s="13">
        <f t="shared" si="20"/>
        <v>496.30275544500006</v>
      </c>
      <c r="J162" s="126"/>
      <c r="K162" s="127"/>
      <c r="L162" s="127"/>
      <c r="M162" s="127"/>
      <c r="N162" s="127"/>
      <c r="O162" s="127"/>
      <c r="P162" s="127"/>
    </row>
    <row r="163" spans="1:16" ht="60" x14ac:dyDescent="0.25">
      <c r="A163" s="164">
        <v>144</v>
      </c>
      <c r="B163" s="207"/>
      <c r="C163" s="160" t="s">
        <v>74</v>
      </c>
      <c r="D163" s="163" t="s">
        <v>75</v>
      </c>
      <c r="E163" s="112" t="s">
        <v>8</v>
      </c>
      <c r="F163" s="20">
        <v>47.61</v>
      </c>
      <c r="G163" s="13">
        <v>14.14</v>
      </c>
      <c r="H163" s="13">
        <f t="shared" si="19"/>
        <v>17.317258000000002</v>
      </c>
      <c r="I163" s="13">
        <f t="shared" si="20"/>
        <v>824.47465338000006</v>
      </c>
      <c r="J163" s="126"/>
      <c r="K163" s="127"/>
      <c r="L163" s="127"/>
      <c r="M163" s="127"/>
      <c r="N163" s="127"/>
      <c r="O163" s="127"/>
      <c r="P163" s="127"/>
    </row>
    <row r="164" spans="1:16" ht="60" x14ac:dyDescent="0.25">
      <c r="A164" s="164">
        <v>145</v>
      </c>
      <c r="B164" s="207"/>
      <c r="C164" s="113" t="s">
        <v>76</v>
      </c>
      <c r="D164" s="42" t="s">
        <v>77</v>
      </c>
      <c r="E164" s="112" t="s">
        <v>8</v>
      </c>
      <c r="F164" s="20">
        <v>47.61</v>
      </c>
      <c r="G164" s="13">
        <v>5.28</v>
      </c>
      <c r="H164" s="13">
        <f t="shared" si="19"/>
        <v>6.4664160000000006</v>
      </c>
      <c r="I164" s="13">
        <f t="shared" si="20"/>
        <v>307.86606576000003</v>
      </c>
      <c r="J164" s="126"/>
      <c r="K164" s="127"/>
      <c r="L164" s="127"/>
      <c r="M164" s="127"/>
      <c r="N164" s="127"/>
      <c r="O164" s="127"/>
      <c r="P164" s="127"/>
    </row>
    <row r="165" spans="1:16" ht="45" x14ac:dyDescent="0.25">
      <c r="A165" s="164">
        <v>146</v>
      </c>
      <c r="B165" s="207" t="s">
        <v>115</v>
      </c>
      <c r="C165" s="12" t="s">
        <v>68</v>
      </c>
      <c r="D165" s="25" t="s">
        <v>69</v>
      </c>
      <c r="E165" s="112" t="s">
        <v>8</v>
      </c>
      <c r="F165" s="20">
        <f>27.94*3.9-F167</f>
        <v>91.01100000000001</v>
      </c>
      <c r="G165" s="13">
        <v>8.64</v>
      </c>
      <c r="H165" s="13">
        <f t="shared" si="19"/>
        <v>10.581408000000001</v>
      </c>
      <c r="I165" s="13">
        <f t="shared" si="20"/>
        <v>963.02452348800023</v>
      </c>
      <c r="J165" s="126"/>
      <c r="K165" s="127"/>
      <c r="L165" s="127"/>
      <c r="M165" s="127"/>
      <c r="N165" s="127"/>
      <c r="O165" s="127"/>
      <c r="P165" s="127"/>
    </row>
    <row r="166" spans="1:16" ht="60" x14ac:dyDescent="0.25">
      <c r="A166" s="164">
        <v>147</v>
      </c>
      <c r="B166" s="207"/>
      <c r="C166" s="12" t="s">
        <v>70</v>
      </c>
      <c r="D166" s="25" t="s">
        <v>71</v>
      </c>
      <c r="E166" s="112" t="s">
        <v>8</v>
      </c>
      <c r="F166" s="20">
        <f>F165</f>
        <v>91.01100000000001</v>
      </c>
      <c r="G166" s="13">
        <v>4.21</v>
      </c>
      <c r="H166" s="13">
        <f t="shared" si="19"/>
        <v>5.1559869999999997</v>
      </c>
      <c r="I166" s="13">
        <f t="shared" si="20"/>
        <v>469.25153285700003</v>
      </c>
      <c r="J166" s="126"/>
      <c r="K166" s="127"/>
      <c r="L166" s="127"/>
      <c r="M166" s="127"/>
      <c r="N166" s="127"/>
      <c r="O166" s="127"/>
      <c r="P166" s="127"/>
    </row>
    <row r="167" spans="1:16" ht="60" x14ac:dyDescent="0.25">
      <c r="A167" s="164">
        <v>148</v>
      </c>
      <c r="B167" s="207"/>
      <c r="C167" s="12" t="s">
        <v>72</v>
      </c>
      <c r="D167" s="163" t="s">
        <v>177</v>
      </c>
      <c r="E167" s="112" t="s">
        <v>8</v>
      </c>
      <c r="F167" s="20">
        <f>1.05*3.1*5+0.8*2.1</f>
        <v>17.955000000000002</v>
      </c>
      <c r="G167" s="13">
        <v>22.57</v>
      </c>
      <c r="H167" s="13">
        <f t="shared" si="19"/>
        <v>27.641479</v>
      </c>
      <c r="I167" s="13">
        <f t="shared" si="20"/>
        <v>496.30275544500006</v>
      </c>
      <c r="J167" s="126"/>
      <c r="K167" s="127"/>
      <c r="L167" s="127"/>
      <c r="M167" s="127"/>
      <c r="N167" s="127"/>
      <c r="O167" s="127"/>
      <c r="P167" s="127"/>
    </row>
    <row r="168" spans="1:16" ht="60" x14ac:dyDescent="0.25">
      <c r="A168" s="164">
        <v>149</v>
      </c>
      <c r="B168" s="207"/>
      <c r="C168" s="160" t="s">
        <v>74</v>
      </c>
      <c r="D168" s="163" t="s">
        <v>75</v>
      </c>
      <c r="E168" s="112" t="s">
        <v>8</v>
      </c>
      <c r="F168" s="20">
        <v>47.76</v>
      </c>
      <c r="G168" s="13">
        <v>14.14</v>
      </c>
      <c r="H168" s="13">
        <f t="shared" si="19"/>
        <v>17.317258000000002</v>
      </c>
      <c r="I168" s="13">
        <f t="shared" si="20"/>
        <v>827.07224208000014</v>
      </c>
      <c r="J168" s="126"/>
      <c r="K168" s="127"/>
      <c r="L168" s="127"/>
      <c r="M168" s="127"/>
      <c r="N168" s="127"/>
      <c r="O168" s="127"/>
      <c r="P168" s="127"/>
    </row>
    <row r="169" spans="1:16" ht="60" x14ac:dyDescent="0.25">
      <c r="A169" s="164">
        <v>150</v>
      </c>
      <c r="B169" s="207"/>
      <c r="C169" s="113" t="s">
        <v>76</v>
      </c>
      <c r="D169" s="42" t="s">
        <v>77</v>
      </c>
      <c r="E169" s="112" t="s">
        <v>8</v>
      </c>
      <c r="F169" s="20">
        <v>47.76</v>
      </c>
      <c r="G169" s="13">
        <v>5.28</v>
      </c>
      <c r="H169" s="13">
        <f t="shared" si="19"/>
        <v>6.4664160000000006</v>
      </c>
      <c r="I169" s="13">
        <f t="shared" si="20"/>
        <v>308.83602816000001</v>
      </c>
      <c r="J169" s="126"/>
      <c r="K169" s="127"/>
      <c r="L169" s="127"/>
      <c r="M169" s="127"/>
      <c r="N169" s="127"/>
      <c r="O169" s="127"/>
      <c r="P169" s="127"/>
    </row>
    <row r="170" spans="1:16" ht="45" x14ac:dyDescent="0.25">
      <c r="A170" s="164">
        <v>151</v>
      </c>
      <c r="B170" s="207" t="s">
        <v>103</v>
      </c>
      <c r="C170" s="12" t="s">
        <v>68</v>
      </c>
      <c r="D170" s="25" t="s">
        <v>69</v>
      </c>
      <c r="E170" s="112" t="s">
        <v>8</v>
      </c>
      <c r="F170" s="20">
        <f>24.6*3.9-F172</f>
        <v>90.509999999999991</v>
      </c>
      <c r="G170" s="13">
        <v>8.64</v>
      </c>
      <c r="H170" s="13">
        <f t="shared" si="19"/>
        <v>10.581408000000001</v>
      </c>
      <c r="I170" s="13">
        <f t="shared" si="20"/>
        <v>957.72323807999999</v>
      </c>
      <c r="J170" s="126"/>
      <c r="K170" s="127"/>
      <c r="L170" s="127"/>
      <c r="M170" s="127"/>
      <c r="N170" s="127"/>
      <c r="O170" s="127"/>
      <c r="P170" s="127"/>
    </row>
    <row r="171" spans="1:16" ht="60" x14ac:dyDescent="0.25">
      <c r="A171" s="164">
        <v>152</v>
      </c>
      <c r="B171" s="207"/>
      <c r="C171" s="12" t="s">
        <v>70</v>
      </c>
      <c r="D171" s="25" t="s">
        <v>71</v>
      </c>
      <c r="E171" s="112" t="s">
        <v>8</v>
      </c>
      <c r="F171" s="20">
        <f>F170</f>
        <v>90.509999999999991</v>
      </c>
      <c r="G171" s="13">
        <v>4.21</v>
      </c>
      <c r="H171" s="13">
        <f t="shared" si="19"/>
        <v>5.1559869999999997</v>
      </c>
      <c r="I171" s="13">
        <f t="shared" si="20"/>
        <v>466.6683833699999</v>
      </c>
      <c r="J171" s="126"/>
      <c r="K171" s="127"/>
      <c r="L171" s="127"/>
      <c r="M171" s="127"/>
      <c r="N171" s="127"/>
      <c r="O171" s="127"/>
      <c r="P171" s="127"/>
    </row>
    <row r="172" spans="1:16" ht="60" x14ac:dyDescent="0.25">
      <c r="A172" s="164">
        <v>153</v>
      </c>
      <c r="B172" s="207"/>
      <c r="C172" s="12" t="s">
        <v>72</v>
      </c>
      <c r="D172" s="163" t="s">
        <v>177</v>
      </c>
      <c r="E172" s="112" t="s">
        <v>8</v>
      </c>
      <c r="F172" s="20">
        <f>2.5*1.5+0.8*2.1</f>
        <v>5.43</v>
      </c>
      <c r="G172" s="13">
        <v>22.57</v>
      </c>
      <c r="H172" s="13">
        <f t="shared" si="19"/>
        <v>27.641479</v>
      </c>
      <c r="I172" s="13">
        <f t="shared" si="20"/>
        <v>150.09323097000001</v>
      </c>
      <c r="J172" s="126"/>
      <c r="K172" s="127"/>
      <c r="L172" s="127"/>
      <c r="M172" s="127"/>
      <c r="N172" s="127"/>
      <c r="O172" s="127"/>
      <c r="P172" s="127"/>
    </row>
    <row r="173" spans="1:16" ht="60" x14ac:dyDescent="0.25">
      <c r="A173" s="164">
        <v>154</v>
      </c>
      <c r="B173" s="207"/>
      <c r="C173" s="160" t="s">
        <v>74</v>
      </c>
      <c r="D173" s="163" t="s">
        <v>75</v>
      </c>
      <c r="E173" s="112" t="s">
        <v>8</v>
      </c>
      <c r="F173" s="20">
        <v>37.729999999999997</v>
      </c>
      <c r="G173" s="13">
        <v>14.14</v>
      </c>
      <c r="H173" s="13">
        <f t="shared" si="19"/>
        <v>17.317258000000002</v>
      </c>
      <c r="I173" s="13">
        <f t="shared" si="20"/>
        <v>653.38014434000002</v>
      </c>
      <c r="J173" s="126"/>
      <c r="K173" s="127"/>
      <c r="L173" s="127"/>
      <c r="M173" s="127"/>
      <c r="N173" s="127"/>
      <c r="O173" s="127"/>
      <c r="P173" s="127"/>
    </row>
    <row r="174" spans="1:16" ht="60" x14ac:dyDescent="0.25">
      <c r="A174" s="164">
        <v>155</v>
      </c>
      <c r="B174" s="207"/>
      <c r="C174" s="113" t="s">
        <v>76</v>
      </c>
      <c r="D174" s="42" t="s">
        <v>77</v>
      </c>
      <c r="E174" s="112" t="s">
        <v>8</v>
      </c>
      <c r="F174" s="20">
        <v>37.729999999999997</v>
      </c>
      <c r="G174" s="13">
        <v>5.28</v>
      </c>
      <c r="H174" s="13">
        <f t="shared" si="19"/>
        <v>6.4664160000000006</v>
      </c>
      <c r="I174" s="13">
        <f t="shared" si="20"/>
        <v>243.97787568000001</v>
      </c>
      <c r="J174" s="126"/>
      <c r="K174" s="127"/>
      <c r="L174" s="127"/>
      <c r="M174" s="127"/>
      <c r="N174" s="127"/>
      <c r="O174" s="127"/>
      <c r="P174" s="127"/>
    </row>
    <row r="175" spans="1:16" ht="45" x14ac:dyDescent="0.25">
      <c r="A175" s="164">
        <v>156</v>
      </c>
      <c r="B175" s="207" t="s">
        <v>178</v>
      </c>
      <c r="C175" s="12" t="s">
        <v>68</v>
      </c>
      <c r="D175" s="25" t="s">
        <v>69</v>
      </c>
      <c r="E175" s="112" t="s">
        <v>8</v>
      </c>
      <c r="F175" s="20">
        <f>16.9*3.9-F177-2*3.9</f>
        <v>56.429999999999993</v>
      </c>
      <c r="G175" s="13">
        <v>8.64</v>
      </c>
      <c r="H175" s="13">
        <f t="shared" si="19"/>
        <v>10.581408000000001</v>
      </c>
      <c r="I175" s="13">
        <f t="shared" si="20"/>
        <v>597.10885343999996</v>
      </c>
      <c r="J175" s="126"/>
      <c r="K175" s="127"/>
      <c r="L175" s="127"/>
      <c r="M175" s="127"/>
      <c r="N175" s="127"/>
      <c r="O175" s="127"/>
      <c r="P175" s="127"/>
    </row>
    <row r="176" spans="1:16" ht="60" x14ac:dyDescent="0.25">
      <c r="A176" s="164">
        <v>157</v>
      </c>
      <c r="B176" s="207"/>
      <c r="C176" s="12" t="s">
        <v>70</v>
      </c>
      <c r="D176" s="25" t="s">
        <v>71</v>
      </c>
      <c r="E176" s="112" t="s">
        <v>8</v>
      </c>
      <c r="F176" s="20">
        <f>F175</f>
        <v>56.429999999999993</v>
      </c>
      <c r="G176" s="13">
        <v>4.21</v>
      </c>
      <c r="H176" s="13">
        <f t="shared" si="19"/>
        <v>5.1559869999999997</v>
      </c>
      <c r="I176" s="13">
        <f t="shared" si="20"/>
        <v>290.95234640999996</v>
      </c>
      <c r="J176" s="126"/>
      <c r="K176" s="127"/>
      <c r="L176" s="127"/>
      <c r="M176" s="127"/>
      <c r="N176" s="127"/>
      <c r="O176" s="127"/>
      <c r="P176" s="127"/>
    </row>
    <row r="177" spans="1:16" ht="60" x14ac:dyDescent="0.25">
      <c r="A177" s="164">
        <v>158</v>
      </c>
      <c r="B177" s="207"/>
      <c r="C177" s="12" t="s">
        <v>72</v>
      </c>
      <c r="D177" s="163" t="s">
        <v>177</v>
      </c>
      <c r="E177" s="112" t="s">
        <v>8</v>
      </c>
      <c r="F177" s="20">
        <f>0.8*2.1</f>
        <v>1.6800000000000002</v>
      </c>
      <c r="G177" s="13">
        <v>22.57</v>
      </c>
      <c r="H177" s="13">
        <f t="shared" si="19"/>
        <v>27.641479</v>
      </c>
      <c r="I177" s="13">
        <f t="shared" si="20"/>
        <v>46.437684720000007</v>
      </c>
      <c r="J177" s="126"/>
      <c r="K177" s="127"/>
      <c r="L177" s="127"/>
      <c r="M177" s="127"/>
      <c r="N177" s="127"/>
      <c r="O177" s="127"/>
      <c r="P177" s="127"/>
    </row>
    <row r="178" spans="1:16" ht="60" x14ac:dyDescent="0.25">
      <c r="A178" s="164">
        <v>159</v>
      </c>
      <c r="B178" s="207"/>
      <c r="C178" s="160" t="s">
        <v>74</v>
      </c>
      <c r="D178" s="163" t="s">
        <v>75</v>
      </c>
      <c r="E178" s="112" t="s">
        <v>8</v>
      </c>
      <c r="F178" s="20">
        <v>12.9</v>
      </c>
      <c r="G178" s="13">
        <v>14.14</v>
      </c>
      <c r="H178" s="13">
        <f t="shared" si="19"/>
        <v>17.317258000000002</v>
      </c>
      <c r="I178" s="13">
        <f t="shared" si="20"/>
        <v>223.39262820000005</v>
      </c>
      <c r="J178" s="126"/>
      <c r="K178" s="127"/>
      <c r="L178" s="127"/>
      <c r="M178" s="127"/>
      <c r="N178" s="127"/>
      <c r="O178" s="127"/>
      <c r="P178" s="127"/>
    </row>
    <row r="179" spans="1:16" ht="60" x14ac:dyDescent="0.25">
      <c r="A179" s="164">
        <v>160</v>
      </c>
      <c r="B179" s="207"/>
      <c r="C179" s="113" t="s">
        <v>76</v>
      </c>
      <c r="D179" s="42" t="s">
        <v>77</v>
      </c>
      <c r="E179" s="112" t="s">
        <v>8</v>
      </c>
      <c r="F179" s="20">
        <v>12.9</v>
      </c>
      <c r="G179" s="13">
        <v>5.28</v>
      </c>
      <c r="H179" s="13">
        <f t="shared" si="19"/>
        <v>6.4664160000000006</v>
      </c>
      <c r="I179" s="13">
        <f t="shared" si="20"/>
        <v>83.416766400000014</v>
      </c>
      <c r="J179" s="126"/>
      <c r="K179" s="127"/>
      <c r="L179" s="127"/>
      <c r="M179" s="127"/>
      <c r="N179" s="127"/>
      <c r="O179" s="127"/>
      <c r="P179" s="127"/>
    </row>
    <row r="180" spans="1:16" ht="45" x14ac:dyDescent="0.25">
      <c r="A180" s="164">
        <v>161</v>
      </c>
      <c r="B180" s="207" t="s">
        <v>116</v>
      </c>
      <c r="C180" s="12" t="s">
        <v>68</v>
      </c>
      <c r="D180" s="25" t="s">
        <v>69</v>
      </c>
      <c r="E180" s="112" t="s">
        <v>8</v>
      </c>
      <c r="F180" s="20">
        <f>28.86*3.9-F182</f>
        <v>103.374</v>
      </c>
      <c r="G180" s="13">
        <v>8.64</v>
      </c>
      <c r="H180" s="13">
        <f t="shared" si="19"/>
        <v>10.581408000000001</v>
      </c>
      <c r="I180" s="13">
        <f t="shared" si="20"/>
        <v>1093.8424705920002</v>
      </c>
      <c r="J180" s="126"/>
      <c r="K180" s="127"/>
      <c r="L180" s="127"/>
      <c r="M180" s="127"/>
      <c r="N180" s="127"/>
      <c r="O180" s="127"/>
      <c r="P180" s="127"/>
    </row>
    <row r="181" spans="1:16" ht="60" x14ac:dyDescent="0.25">
      <c r="A181" s="164">
        <v>162</v>
      </c>
      <c r="B181" s="207"/>
      <c r="C181" s="12" t="s">
        <v>70</v>
      </c>
      <c r="D181" s="25" t="s">
        <v>71</v>
      </c>
      <c r="E181" s="112" t="s">
        <v>8</v>
      </c>
      <c r="F181" s="20">
        <f>F180</f>
        <v>103.374</v>
      </c>
      <c r="G181" s="13">
        <v>4.21</v>
      </c>
      <c r="H181" s="13">
        <f t="shared" si="19"/>
        <v>5.1559869999999997</v>
      </c>
      <c r="I181" s="13">
        <f t="shared" si="20"/>
        <v>532.99500013799991</v>
      </c>
      <c r="J181" s="126"/>
      <c r="K181" s="127"/>
      <c r="L181" s="127"/>
      <c r="M181" s="127"/>
      <c r="N181" s="127"/>
      <c r="O181" s="127"/>
      <c r="P181" s="127"/>
    </row>
    <row r="182" spans="1:16" ht="60" x14ac:dyDescent="0.25">
      <c r="A182" s="164">
        <v>163</v>
      </c>
      <c r="B182" s="207"/>
      <c r="C182" s="12" t="s">
        <v>72</v>
      </c>
      <c r="D182" s="163" t="s">
        <v>177</v>
      </c>
      <c r="E182" s="112" t="s">
        <v>8</v>
      </c>
      <c r="F182" s="20">
        <f>2.5*1.5*2+0.8*2.1</f>
        <v>9.18</v>
      </c>
      <c r="G182" s="13">
        <v>22.57</v>
      </c>
      <c r="H182" s="13">
        <f t="shared" si="19"/>
        <v>27.641479</v>
      </c>
      <c r="I182" s="13">
        <f t="shared" si="20"/>
        <v>253.74877721999999</v>
      </c>
      <c r="J182" s="126"/>
      <c r="K182" s="127"/>
      <c r="L182" s="127"/>
      <c r="M182" s="127"/>
      <c r="N182" s="127"/>
      <c r="O182" s="127"/>
      <c r="P182" s="127"/>
    </row>
    <row r="183" spans="1:16" ht="60" x14ac:dyDescent="0.25">
      <c r="A183" s="164">
        <v>164</v>
      </c>
      <c r="B183" s="207"/>
      <c r="C183" s="160" t="s">
        <v>74</v>
      </c>
      <c r="D183" s="163" t="s">
        <v>75</v>
      </c>
      <c r="E183" s="112" t="s">
        <v>8</v>
      </c>
      <c r="F183" s="20">
        <v>51.39</v>
      </c>
      <c r="G183" s="13">
        <v>14.14</v>
      </c>
      <c r="H183" s="13">
        <f t="shared" si="19"/>
        <v>17.317258000000002</v>
      </c>
      <c r="I183" s="13">
        <f t="shared" si="20"/>
        <v>889.93388862000018</v>
      </c>
      <c r="J183" s="126"/>
      <c r="K183" s="127"/>
      <c r="L183" s="127"/>
      <c r="M183" s="127"/>
      <c r="N183" s="127"/>
      <c r="O183" s="127"/>
      <c r="P183" s="127"/>
    </row>
    <row r="184" spans="1:16" ht="60" x14ac:dyDescent="0.25">
      <c r="A184" s="164">
        <v>165</v>
      </c>
      <c r="B184" s="207"/>
      <c r="C184" s="113" t="s">
        <v>76</v>
      </c>
      <c r="D184" s="42" t="s">
        <v>77</v>
      </c>
      <c r="E184" s="112" t="s">
        <v>8</v>
      </c>
      <c r="F184" s="20">
        <v>51.39</v>
      </c>
      <c r="G184" s="13">
        <v>5.28</v>
      </c>
      <c r="H184" s="13">
        <f t="shared" si="19"/>
        <v>6.4664160000000006</v>
      </c>
      <c r="I184" s="13">
        <f t="shared" si="20"/>
        <v>332.30911824000003</v>
      </c>
      <c r="J184" s="126"/>
      <c r="K184" s="127"/>
      <c r="L184" s="127"/>
      <c r="M184" s="127"/>
      <c r="N184" s="127"/>
      <c r="O184" s="127"/>
      <c r="P184" s="127"/>
    </row>
    <row r="185" spans="1:16" ht="45" x14ac:dyDescent="0.25">
      <c r="A185" s="164">
        <v>166</v>
      </c>
      <c r="B185" s="207" t="s">
        <v>179</v>
      </c>
      <c r="C185" s="12" t="s">
        <v>68</v>
      </c>
      <c r="D185" s="25" t="s">
        <v>69</v>
      </c>
      <c r="E185" s="112" t="s">
        <v>8</v>
      </c>
      <c r="F185" s="20">
        <f>14.6*3-F187</f>
        <v>39.199999999999996</v>
      </c>
      <c r="G185" s="13">
        <v>8.64</v>
      </c>
      <c r="H185" s="13">
        <f t="shared" si="19"/>
        <v>10.581408000000001</v>
      </c>
      <c r="I185" s="13">
        <f t="shared" si="20"/>
        <v>414.79119359999999</v>
      </c>
      <c r="J185" s="126"/>
      <c r="K185" s="127"/>
      <c r="L185" s="127"/>
      <c r="M185" s="127"/>
      <c r="N185" s="127"/>
      <c r="O185" s="127"/>
      <c r="P185" s="127"/>
    </row>
    <row r="186" spans="1:16" ht="60" x14ac:dyDescent="0.25">
      <c r="A186" s="164">
        <v>167</v>
      </c>
      <c r="B186" s="207"/>
      <c r="C186" s="12" t="s">
        <v>70</v>
      </c>
      <c r="D186" s="25" t="s">
        <v>71</v>
      </c>
      <c r="E186" s="112" t="s">
        <v>8</v>
      </c>
      <c r="F186" s="20">
        <f>F185</f>
        <v>39.199999999999996</v>
      </c>
      <c r="G186" s="13">
        <v>4.21</v>
      </c>
      <c r="H186" s="13">
        <f t="shared" si="19"/>
        <v>5.1559869999999997</v>
      </c>
      <c r="I186" s="13">
        <f t="shared" si="20"/>
        <v>202.11469039999997</v>
      </c>
      <c r="J186" s="126"/>
      <c r="K186" s="127"/>
      <c r="L186" s="127"/>
      <c r="M186" s="127"/>
      <c r="N186" s="127"/>
      <c r="O186" s="127"/>
      <c r="P186" s="127"/>
    </row>
    <row r="187" spans="1:16" ht="60" x14ac:dyDescent="0.25">
      <c r="A187" s="164">
        <v>168</v>
      </c>
      <c r="B187" s="207"/>
      <c r="C187" s="12" t="s">
        <v>72</v>
      </c>
      <c r="D187" s="163" t="s">
        <v>177</v>
      </c>
      <c r="E187" s="112" t="s">
        <v>8</v>
      </c>
      <c r="F187" s="20">
        <f>1*1+1.6*1.2+0.8*2.1</f>
        <v>4.5999999999999996</v>
      </c>
      <c r="G187" s="13">
        <v>22.57</v>
      </c>
      <c r="H187" s="13">
        <f t="shared" si="19"/>
        <v>27.641479</v>
      </c>
      <c r="I187" s="13">
        <f t="shared" si="20"/>
        <v>127.15080339999999</v>
      </c>
      <c r="J187" s="126"/>
      <c r="K187" s="127"/>
      <c r="L187" s="127"/>
      <c r="M187" s="127"/>
      <c r="N187" s="127"/>
      <c r="O187" s="127"/>
      <c r="P187" s="127"/>
    </row>
    <row r="188" spans="1:16" ht="60" x14ac:dyDescent="0.25">
      <c r="A188" s="164">
        <v>169</v>
      </c>
      <c r="B188" s="207"/>
      <c r="C188" s="160" t="s">
        <v>74</v>
      </c>
      <c r="D188" s="163" t="s">
        <v>75</v>
      </c>
      <c r="E188" s="112" t="s">
        <v>8</v>
      </c>
      <c r="F188" s="20">
        <v>13.07</v>
      </c>
      <c r="G188" s="13">
        <v>14.14</v>
      </c>
      <c r="H188" s="13">
        <f t="shared" si="19"/>
        <v>17.317258000000002</v>
      </c>
      <c r="I188" s="13">
        <f t="shared" si="20"/>
        <v>226.33656206000003</v>
      </c>
      <c r="J188" s="126"/>
      <c r="K188" s="127"/>
      <c r="L188" s="127"/>
      <c r="M188" s="127"/>
      <c r="N188" s="127"/>
      <c r="O188" s="127"/>
      <c r="P188" s="127"/>
    </row>
    <row r="189" spans="1:16" ht="60" x14ac:dyDescent="0.25">
      <c r="A189" s="164">
        <v>170</v>
      </c>
      <c r="B189" s="207"/>
      <c r="C189" s="113" t="s">
        <v>76</v>
      </c>
      <c r="D189" s="42" t="s">
        <v>77</v>
      </c>
      <c r="E189" s="112" t="s">
        <v>8</v>
      </c>
      <c r="F189" s="20">
        <v>13.07</v>
      </c>
      <c r="G189" s="13">
        <v>5.28</v>
      </c>
      <c r="H189" s="13">
        <f t="shared" si="19"/>
        <v>6.4664160000000006</v>
      </c>
      <c r="I189" s="13">
        <f t="shared" si="20"/>
        <v>84.516057120000013</v>
      </c>
      <c r="J189" s="126"/>
      <c r="K189" s="127"/>
      <c r="L189" s="127"/>
      <c r="M189" s="127"/>
      <c r="N189" s="127"/>
      <c r="O189" s="127"/>
      <c r="P189" s="127"/>
    </row>
    <row r="190" spans="1:16" ht="45" x14ac:dyDescent="0.25">
      <c r="A190" s="164">
        <v>171</v>
      </c>
      <c r="B190" s="207" t="s">
        <v>180</v>
      </c>
      <c r="C190" s="12" t="s">
        <v>68</v>
      </c>
      <c r="D190" s="25" t="s">
        <v>69</v>
      </c>
      <c r="E190" s="112" t="s">
        <v>8</v>
      </c>
      <c r="F190" s="20">
        <f>8.99*2.2-F192</f>
        <v>17.658000000000001</v>
      </c>
      <c r="G190" s="13">
        <v>8.64</v>
      </c>
      <c r="H190" s="13">
        <f t="shared" si="19"/>
        <v>10.581408000000001</v>
      </c>
      <c r="I190" s="13">
        <f t="shared" si="20"/>
        <v>186.84650246400003</v>
      </c>
      <c r="J190" s="126"/>
      <c r="K190" s="127"/>
      <c r="L190" s="127"/>
      <c r="M190" s="127"/>
      <c r="N190" s="127"/>
      <c r="O190" s="127"/>
      <c r="P190" s="127"/>
    </row>
    <row r="191" spans="1:16" ht="60" x14ac:dyDescent="0.25">
      <c r="A191" s="164">
        <v>172</v>
      </c>
      <c r="B191" s="207"/>
      <c r="C191" s="12" t="s">
        <v>70</v>
      </c>
      <c r="D191" s="25" t="s">
        <v>71</v>
      </c>
      <c r="E191" s="112" t="s">
        <v>8</v>
      </c>
      <c r="F191" s="20">
        <f>F190</f>
        <v>17.658000000000001</v>
      </c>
      <c r="G191" s="13">
        <v>4.21</v>
      </c>
      <c r="H191" s="13">
        <f t="shared" si="19"/>
        <v>5.1559869999999997</v>
      </c>
      <c r="I191" s="13">
        <f t="shared" si="20"/>
        <v>91.044418445999995</v>
      </c>
      <c r="J191" s="126"/>
      <c r="K191" s="127"/>
      <c r="L191" s="127"/>
      <c r="M191" s="127"/>
      <c r="N191" s="127"/>
      <c r="O191" s="127"/>
      <c r="P191" s="127"/>
    </row>
    <row r="192" spans="1:16" ht="60" x14ac:dyDescent="0.25">
      <c r="A192" s="164">
        <v>173</v>
      </c>
      <c r="B192" s="207"/>
      <c r="C192" s="12" t="s">
        <v>72</v>
      </c>
      <c r="D192" s="163" t="s">
        <v>177</v>
      </c>
      <c r="E192" s="112" t="s">
        <v>8</v>
      </c>
      <c r="F192" s="20">
        <f>0.7*2.1+0.5*1.3</f>
        <v>2.12</v>
      </c>
      <c r="G192" s="13">
        <v>22.57</v>
      </c>
      <c r="H192" s="13">
        <f t="shared" si="19"/>
        <v>27.641479</v>
      </c>
      <c r="I192" s="13">
        <f t="shared" si="20"/>
        <v>58.599935480000006</v>
      </c>
      <c r="J192" s="126"/>
      <c r="K192" s="127"/>
      <c r="L192" s="127"/>
      <c r="M192" s="127"/>
      <c r="N192" s="127"/>
      <c r="O192" s="127"/>
      <c r="P192" s="127"/>
    </row>
    <row r="193" spans="1:16" ht="60" x14ac:dyDescent="0.25">
      <c r="A193" s="164">
        <v>174</v>
      </c>
      <c r="B193" s="207"/>
      <c r="C193" s="160" t="s">
        <v>74</v>
      </c>
      <c r="D193" s="163" t="s">
        <v>75</v>
      </c>
      <c r="E193" s="112" t="s">
        <v>8</v>
      </c>
      <c r="F193" s="20">
        <v>4.24</v>
      </c>
      <c r="G193" s="13">
        <v>14.14</v>
      </c>
      <c r="H193" s="13">
        <f t="shared" si="19"/>
        <v>17.317258000000002</v>
      </c>
      <c r="I193" s="13">
        <f t="shared" si="20"/>
        <v>73.42517392000002</v>
      </c>
      <c r="J193" s="126"/>
      <c r="K193" s="127"/>
      <c r="L193" s="127"/>
      <c r="M193" s="127"/>
      <c r="N193" s="127"/>
      <c r="O193" s="127"/>
      <c r="P193" s="127"/>
    </row>
    <row r="194" spans="1:16" ht="60" x14ac:dyDescent="0.25">
      <c r="A194" s="164">
        <v>175</v>
      </c>
      <c r="B194" s="207"/>
      <c r="C194" s="113" t="s">
        <v>76</v>
      </c>
      <c r="D194" s="42" t="s">
        <v>77</v>
      </c>
      <c r="E194" s="112" t="s">
        <v>8</v>
      </c>
      <c r="F194" s="20">
        <v>4.24</v>
      </c>
      <c r="G194" s="13">
        <v>5.28</v>
      </c>
      <c r="H194" s="13">
        <f t="shared" si="19"/>
        <v>6.4664160000000006</v>
      </c>
      <c r="I194" s="13">
        <f t="shared" si="20"/>
        <v>27.417603840000005</v>
      </c>
      <c r="J194" s="126"/>
      <c r="K194" s="127"/>
      <c r="L194" s="127"/>
      <c r="M194" s="127"/>
      <c r="N194" s="127"/>
      <c r="O194" s="127"/>
      <c r="P194" s="127"/>
    </row>
    <row r="195" spans="1:16" ht="45" x14ac:dyDescent="0.25">
      <c r="A195" s="164">
        <v>176</v>
      </c>
      <c r="B195" s="207" t="s">
        <v>181</v>
      </c>
      <c r="C195" s="12" t="s">
        <v>68</v>
      </c>
      <c r="D195" s="25" t="s">
        <v>69</v>
      </c>
      <c r="E195" s="112" t="s">
        <v>8</v>
      </c>
      <c r="F195" s="20">
        <f>6.59*2.2-F197</f>
        <v>13.028</v>
      </c>
      <c r="G195" s="13">
        <v>8.64</v>
      </c>
      <c r="H195" s="13">
        <f t="shared" si="19"/>
        <v>10.581408000000001</v>
      </c>
      <c r="I195" s="13">
        <f t="shared" si="20"/>
        <v>137.85458342400003</v>
      </c>
      <c r="J195" s="126"/>
      <c r="K195" s="127"/>
      <c r="L195" s="127"/>
      <c r="M195" s="127"/>
      <c r="N195" s="127"/>
      <c r="O195" s="127"/>
      <c r="P195" s="127"/>
    </row>
    <row r="196" spans="1:16" ht="60" x14ac:dyDescent="0.25">
      <c r="A196" s="164">
        <v>177</v>
      </c>
      <c r="B196" s="207"/>
      <c r="C196" s="12" t="s">
        <v>70</v>
      </c>
      <c r="D196" s="25" t="s">
        <v>71</v>
      </c>
      <c r="E196" s="112" t="s">
        <v>8</v>
      </c>
      <c r="F196" s="20">
        <f>F195</f>
        <v>13.028</v>
      </c>
      <c r="G196" s="13">
        <v>4.21</v>
      </c>
      <c r="H196" s="13">
        <f t="shared" si="19"/>
        <v>5.1559869999999997</v>
      </c>
      <c r="I196" s="13">
        <f t="shared" si="20"/>
        <v>67.172198636000005</v>
      </c>
      <c r="J196" s="126"/>
      <c r="K196" s="127"/>
      <c r="L196" s="127"/>
      <c r="M196" s="127"/>
      <c r="N196" s="127"/>
      <c r="O196" s="127"/>
      <c r="P196" s="127"/>
    </row>
    <row r="197" spans="1:16" ht="60" x14ac:dyDescent="0.25">
      <c r="A197" s="164">
        <v>178</v>
      </c>
      <c r="B197" s="207"/>
      <c r="C197" s="12" t="s">
        <v>72</v>
      </c>
      <c r="D197" s="163" t="s">
        <v>177</v>
      </c>
      <c r="E197" s="112" t="s">
        <v>8</v>
      </c>
      <c r="F197" s="20">
        <f>0.7*2.1</f>
        <v>1.47</v>
      </c>
      <c r="G197" s="13">
        <v>22.57</v>
      </c>
      <c r="H197" s="13">
        <f t="shared" si="19"/>
        <v>27.641479</v>
      </c>
      <c r="I197" s="13">
        <f t="shared" si="20"/>
        <v>40.632974130000001</v>
      </c>
      <c r="J197" s="126"/>
      <c r="K197" s="127"/>
      <c r="L197" s="127"/>
      <c r="M197" s="127"/>
      <c r="N197" s="127"/>
      <c r="O197" s="127"/>
      <c r="P197" s="127"/>
    </row>
    <row r="198" spans="1:16" ht="60" x14ac:dyDescent="0.25">
      <c r="A198" s="164">
        <v>179</v>
      </c>
      <c r="B198" s="207"/>
      <c r="C198" s="160" t="s">
        <v>74</v>
      </c>
      <c r="D198" s="163" t="s">
        <v>75</v>
      </c>
      <c r="E198" s="112" t="s">
        <v>8</v>
      </c>
      <c r="F198" s="20">
        <v>2.7</v>
      </c>
      <c r="G198" s="13">
        <v>14.14</v>
      </c>
      <c r="H198" s="13">
        <f t="shared" si="19"/>
        <v>17.317258000000002</v>
      </c>
      <c r="I198" s="13">
        <f t="shared" si="20"/>
        <v>46.756596600000009</v>
      </c>
      <c r="J198" s="126"/>
      <c r="K198" s="127"/>
      <c r="L198" s="127"/>
      <c r="M198" s="127"/>
      <c r="N198" s="127"/>
      <c r="O198" s="127"/>
      <c r="P198" s="127"/>
    </row>
    <row r="199" spans="1:16" ht="60" x14ac:dyDescent="0.25">
      <c r="A199" s="164">
        <v>180</v>
      </c>
      <c r="B199" s="207"/>
      <c r="C199" s="113" t="s">
        <v>76</v>
      </c>
      <c r="D199" s="42" t="s">
        <v>77</v>
      </c>
      <c r="E199" s="112" t="s">
        <v>8</v>
      </c>
      <c r="F199" s="20">
        <v>2.7</v>
      </c>
      <c r="G199" s="13">
        <v>5.28</v>
      </c>
      <c r="H199" s="13">
        <f t="shared" si="19"/>
        <v>6.4664160000000006</v>
      </c>
      <c r="I199" s="13">
        <f t="shared" si="20"/>
        <v>17.459323200000004</v>
      </c>
      <c r="J199" s="126"/>
      <c r="K199" s="127"/>
      <c r="L199" s="127"/>
      <c r="M199" s="127"/>
      <c r="N199" s="127"/>
      <c r="O199" s="127"/>
      <c r="P199" s="127"/>
    </row>
    <row r="200" spans="1:16" ht="60" x14ac:dyDescent="0.25">
      <c r="A200" s="164">
        <v>181</v>
      </c>
      <c r="B200" s="207" t="s">
        <v>182</v>
      </c>
      <c r="C200" s="12" t="s">
        <v>72</v>
      </c>
      <c r="D200" s="163" t="s">
        <v>177</v>
      </c>
      <c r="E200" s="112" t="s">
        <v>8</v>
      </c>
      <c r="F200" s="20">
        <f>0.8*2.1+1.8*0.3</f>
        <v>2.2200000000000002</v>
      </c>
      <c r="G200" s="13">
        <v>22.57</v>
      </c>
      <c r="H200" s="13">
        <f t="shared" si="19"/>
        <v>27.641479</v>
      </c>
      <c r="I200" s="13">
        <f t="shared" si="20"/>
        <v>61.364083380000004</v>
      </c>
      <c r="J200" s="126"/>
      <c r="K200" s="127"/>
      <c r="L200" s="127"/>
      <c r="M200" s="127"/>
      <c r="N200" s="127"/>
      <c r="O200" s="127"/>
      <c r="P200" s="127"/>
    </row>
    <row r="201" spans="1:16" ht="60" x14ac:dyDescent="0.25">
      <c r="A201" s="164">
        <v>182</v>
      </c>
      <c r="B201" s="207"/>
      <c r="C201" s="160" t="s">
        <v>74</v>
      </c>
      <c r="D201" s="163" t="s">
        <v>75</v>
      </c>
      <c r="E201" s="112" t="s">
        <v>8</v>
      </c>
      <c r="F201" s="20">
        <v>2.5499999999999998</v>
      </c>
      <c r="G201" s="13">
        <v>14.14</v>
      </c>
      <c r="H201" s="13">
        <f t="shared" si="19"/>
        <v>17.317258000000002</v>
      </c>
      <c r="I201" s="13">
        <f t="shared" si="20"/>
        <v>44.159007900000006</v>
      </c>
      <c r="J201" s="126"/>
      <c r="K201" s="127"/>
      <c r="L201" s="127"/>
      <c r="M201" s="127"/>
      <c r="N201" s="127"/>
      <c r="O201" s="127"/>
      <c r="P201" s="127"/>
    </row>
    <row r="202" spans="1:16" ht="60" x14ac:dyDescent="0.25">
      <c r="A202" s="164">
        <v>183</v>
      </c>
      <c r="B202" s="207"/>
      <c r="C202" s="113" t="s">
        <v>76</v>
      </c>
      <c r="D202" s="42" t="s">
        <v>77</v>
      </c>
      <c r="E202" s="112" t="s">
        <v>8</v>
      </c>
      <c r="F202" s="20">
        <v>2.5499999999999998</v>
      </c>
      <c r="G202" s="13">
        <v>5.28</v>
      </c>
      <c r="H202" s="13">
        <f t="shared" si="19"/>
        <v>6.4664160000000006</v>
      </c>
      <c r="I202" s="13">
        <f t="shared" si="20"/>
        <v>16.4893608</v>
      </c>
      <c r="J202" s="126"/>
      <c r="K202" s="127"/>
      <c r="L202" s="127"/>
      <c r="M202" s="127"/>
      <c r="N202" s="127"/>
      <c r="O202" s="127"/>
      <c r="P202" s="127"/>
    </row>
    <row r="203" spans="1:16" ht="45" x14ac:dyDescent="0.25">
      <c r="A203" s="164">
        <v>184</v>
      </c>
      <c r="B203" s="207" t="s">
        <v>183</v>
      </c>
      <c r="C203" s="12" t="s">
        <v>68</v>
      </c>
      <c r="D203" s="25" t="s">
        <v>69</v>
      </c>
      <c r="E203" s="112" t="s">
        <v>8</v>
      </c>
      <c r="F203" s="20">
        <f>12.12*3.5-F205</f>
        <v>31.739999999999995</v>
      </c>
      <c r="G203" s="13">
        <v>8.64</v>
      </c>
      <c r="H203" s="13">
        <f t="shared" si="19"/>
        <v>10.581408000000001</v>
      </c>
      <c r="I203" s="13">
        <f t="shared" si="20"/>
        <v>335.85388991999997</v>
      </c>
      <c r="J203" s="126"/>
      <c r="K203" s="127"/>
      <c r="L203" s="127"/>
      <c r="M203" s="127"/>
      <c r="N203" s="127"/>
      <c r="O203" s="127"/>
      <c r="P203" s="127"/>
    </row>
    <row r="204" spans="1:16" ht="60" x14ac:dyDescent="0.25">
      <c r="A204" s="164">
        <v>185</v>
      </c>
      <c r="B204" s="207"/>
      <c r="C204" s="12" t="s">
        <v>70</v>
      </c>
      <c r="D204" s="25" t="s">
        <v>71</v>
      </c>
      <c r="E204" s="112" t="s">
        <v>8</v>
      </c>
      <c r="F204" s="20">
        <f>F203</f>
        <v>31.739999999999995</v>
      </c>
      <c r="G204" s="13">
        <v>4.21</v>
      </c>
      <c r="H204" s="13">
        <f t="shared" si="19"/>
        <v>5.1559869999999997</v>
      </c>
      <c r="I204" s="13">
        <f t="shared" si="20"/>
        <v>163.65102737999996</v>
      </c>
      <c r="J204" s="126"/>
      <c r="K204" s="127"/>
      <c r="L204" s="127"/>
      <c r="M204" s="127"/>
      <c r="N204" s="127"/>
      <c r="O204" s="127"/>
      <c r="P204" s="127"/>
    </row>
    <row r="205" spans="1:16" ht="60" x14ac:dyDescent="0.25">
      <c r="A205" s="164">
        <v>186</v>
      </c>
      <c r="B205" s="207"/>
      <c r="C205" s="12" t="s">
        <v>72</v>
      </c>
      <c r="D205" s="163" t="s">
        <v>177</v>
      </c>
      <c r="E205" s="112" t="s">
        <v>8</v>
      </c>
      <c r="F205" s="20">
        <f>2*3*1.5+0.8*2.1</f>
        <v>10.68</v>
      </c>
      <c r="G205" s="13">
        <v>22.57</v>
      </c>
      <c r="H205" s="13">
        <f t="shared" si="19"/>
        <v>27.641479</v>
      </c>
      <c r="I205" s="13">
        <f t="shared" si="20"/>
        <v>295.21099571999997</v>
      </c>
      <c r="J205" s="126"/>
      <c r="K205" s="127"/>
      <c r="L205" s="127"/>
      <c r="M205" s="127"/>
      <c r="N205" s="127"/>
      <c r="O205" s="127"/>
      <c r="P205" s="127"/>
    </row>
    <row r="206" spans="1:16" ht="60" x14ac:dyDescent="0.25">
      <c r="A206" s="164">
        <v>187</v>
      </c>
      <c r="B206" s="207"/>
      <c r="C206" s="160" t="s">
        <v>74</v>
      </c>
      <c r="D206" s="163" t="s">
        <v>75</v>
      </c>
      <c r="E206" s="112" t="s">
        <v>8</v>
      </c>
      <c r="F206" s="20">
        <v>9.18</v>
      </c>
      <c r="G206" s="13">
        <v>14.14</v>
      </c>
      <c r="H206" s="13">
        <f t="shared" si="19"/>
        <v>17.317258000000002</v>
      </c>
      <c r="I206" s="13">
        <f t="shared" si="20"/>
        <v>158.97242844000002</v>
      </c>
      <c r="J206" s="126"/>
      <c r="K206" s="127"/>
      <c r="L206" s="127"/>
      <c r="M206" s="127"/>
      <c r="N206" s="127"/>
      <c r="O206" s="127"/>
      <c r="P206" s="127"/>
    </row>
    <row r="207" spans="1:16" ht="60" x14ac:dyDescent="0.25">
      <c r="A207" s="164">
        <v>188</v>
      </c>
      <c r="B207" s="207"/>
      <c r="C207" s="113" t="s">
        <v>76</v>
      </c>
      <c r="D207" s="42" t="s">
        <v>77</v>
      </c>
      <c r="E207" s="112" t="s">
        <v>8</v>
      </c>
      <c r="F207" s="20">
        <v>9.18</v>
      </c>
      <c r="G207" s="13">
        <v>5.28</v>
      </c>
      <c r="H207" s="13">
        <f t="shared" si="19"/>
        <v>6.4664160000000006</v>
      </c>
      <c r="I207" s="13">
        <f t="shared" si="20"/>
        <v>59.361698880000006</v>
      </c>
      <c r="J207" s="126"/>
      <c r="K207" s="127"/>
      <c r="L207" s="127"/>
      <c r="M207" s="127"/>
      <c r="N207" s="127"/>
      <c r="O207" s="127"/>
      <c r="P207" s="127"/>
    </row>
    <row r="208" spans="1:16" ht="60" x14ac:dyDescent="0.25">
      <c r="A208" s="164">
        <v>189</v>
      </c>
      <c r="B208" s="207" t="s">
        <v>123</v>
      </c>
      <c r="C208" s="12" t="s">
        <v>72</v>
      </c>
      <c r="D208" s="163" t="s">
        <v>177</v>
      </c>
      <c r="E208" s="112" t="s">
        <v>8</v>
      </c>
      <c r="F208" s="20">
        <f>3.15+0.8*2.1*2</f>
        <v>6.51</v>
      </c>
      <c r="G208" s="13">
        <v>22.57</v>
      </c>
      <c r="H208" s="13">
        <f t="shared" si="19"/>
        <v>27.641479</v>
      </c>
      <c r="I208" s="13">
        <f t="shared" si="20"/>
        <v>179.94602828999999</v>
      </c>
      <c r="J208" s="126"/>
      <c r="K208" s="127"/>
      <c r="L208" s="127"/>
      <c r="M208" s="127"/>
      <c r="N208" s="127"/>
      <c r="O208" s="127"/>
      <c r="P208" s="127"/>
    </row>
    <row r="209" spans="1:16" ht="60" x14ac:dyDescent="0.25">
      <c r="A209" s="164">
        <v>190</v>
      </c>
      <c r="B209" s="207"/>
      <c r="C209" s="160" t="s">
        <v>74</v>
      </c>
      <c r="D209" s="163" t="s">
        <v>75</v>
      </c>
      <c r="E209" s="112" t="s">
        <v>8</v>
      </c>
      <c r="F209" s="20">
        <v>21.91</v>
      </c>
      <c r="G209" s="13">
        <v>14.14</v>
      </c>
      <c r="H209" s="13">
        <f t="shared" si="19"/>
        <v>17.317258000000002</v>
      </c>
      <c r="I209" s="13">
        <f t="shared" si="20"/>
        <v>379.42112278000008</v>
      </c>
      <c r="J209" s="126"/>
      <c r="K209" s="127"/>
      <c r="L209" s="127"/>
      <c r="M209" s="127"/>
      <c r="N209" s="127"/>
      <c r="O209" s="127"/>
      <c r="P209" s="127"/>
    </row>
    <row r="210" spans="1:16" ht="60" x14ac:dyDescent="0.25">
      <c r="A210" s="164">
        <v>191</v>
      </c>
      <c r="B210" s="207"/>
      <c r="C210" s="113" t="s">
        <v>76</v>
      </c>
      <c r="D210" s="42" t="s">
        <v>77</v>
      </c>
      <c r="E210" s="112" t="s">
        <v>8</v>
      </c>
      <c r="F210" s="20">
        <v>21.91</v>
      </c>
      <c r="G210" s="13">
        <v>5.28</v>
      </c>
      <c r="H210" s="13">
        <f t="shared" si="19"/>
        <v>6.4664160000000006</v>
      </c>
      <c r="I210" s="13">
        <f t="shared" si="20"/>
        <v>141.67917456000001</v>
      </c>
      <c r="J210" s="126"/>
      <c r="K210" s="127"/>
      <c r="L210" s="127"/>
      <c r="M210" s="127"/>
      <c r="N210" s="127"/>
      <c r="O210" s="127"/>
      <c r="P210" s="127"/>
    </row>
    <row r="211" spans="1:16" ht="60" x14ac:dyDescent="0.25">
      <c r="A211" s="164">
        <v>192</v>
      </c>
      <c r="B211" s="207" t="s">
        <v>164</v>
      </c>
      <c r="C211" s="12" t="s">
        <v>72</v>
      </c>
      <c r="D211" s="163" t="s">
        <v>177</v>
      </c>
      <c r="E211" s="112" t="s">
        <v>8</v>
      </c>
      <c r="F211" s="20">
        <f>1*1+0.8*2.1</f>
        <v>2.68</v>
      </c>
      <c r="G211" s="13">
        <v>22.57</v>
      </c>
      <c r="H211" s="13">
        <f t="shared" si="19"/>
        <v>27.641479</v>
      </c>
      <c r="I211" s="13">
        <f t="shared" si="20"/>
        <v>74.079163720000011</v>
      </c>
      <c r="J211" s="126"/>
      <c r="K211" s="127"/>
      <c r="L211" s="127"/>
      <c r="M211" s="127"/>
      <c r="N211" s="127"/>
      <c r="O211" s="127"/>
      <c r="P211" s="127"/>
    </row>
    <row r="212" spans="1:16" ht="60" x14ac:dyDescent="0.25">
      <c r="A212" s="164">
        <v>193</v>
      </c>
      <c r="B212" s="207"/>
      <c r="C212" s="160" t="s">
        <v>74</v>
      </c>
      <c r="D212" s="163" t="s">
        <v>75</v>
      </c>
      <c r="E212" s="112" t="s">
        <v>8</v>
      </c>
      <c r="F212" s="20">
        <v>7.93</v>
      </c>
      <c r="G212" s="13">
        <v>14.14</v>
      </c>
      <c r="H212" s="13">
        <f t="shared" si="19"/>
        <v>17.317258000000002</v>
      </c>
      <c r="I212" s="13">
        <f t="shared" si="20"/>
        <v>137.32585594000003</v>
      </c>
      <c r="J212" s="126"/>
      <c r="K212" s="127"/>
      <c r="L212" s="127"/>
      <c r="M212" s="127"/>
      <c r="N212" s="127"/>
      <c r="O212" s="127"/>
      <c r="P212" s="127"/>
    </row>
    <row r="213" spans="1:16" ht="60" x14ac:dyDescent="0.25">
      <c r="A213" s="164">
        <v>194</v>
      </c>
      <c r="B213" s="207"/>
      <c r="C213" s="113" t="s">
        <v>76</v>
      </c>
      <c r="D213" s="42" t="s">
        <v>77</v>
      </c>
      <c r="E213" s="112" t="s">
        <v>8</v>
      </c>
      <c r="F213" s="20">
        <v>7.93</v>
      </c>
      <c r="G213" s="13">
        <v>5.28</v>
      </c>
      <c r="H213" s="13">
        <f t="shared" si="19"/>
        <v>6.4664160000000006</v>
      </c>
      <c r="I213" s="13">
        <f t="shared" si="20"/>
        <v>51.278678880000001</v>
      </c>
      <c r="J213" s="126"/>
      <c r="K213" s="127"/>
      <c r="L213" s="127"/>
      <c r="M213" s="127"/>
      <c r="N213" s="127"/>
      <c r="O213" s="127"/>
      <c r="P213" s="127"/>
    </row>
    <row r="214" spans="1:16" ht="45" x14ac:dyDescent="0.25">
      <c r="A214" s="164">
        <v>195</v>
      </c>
      <c r="B214" s="207" t="s">
        <v>184</v>
      </c>
      <c r="C214" s="12" t="s">
        <v>68</v>
      </c>
      <c r="D214" s="25" t="s">
        <v>69</v>
      </c>
      <c r="E214" s="112" t="s">
        <v>8</v>
      </c>
      <c r="F214" s="20">
        <f>13.9*3-F216</f>
        <v>35.520000000000003</v>
      </c>
      <c r="G214" s="13">
        <v>8.64</v>
      </c>
      <c r="H214" s="13">
        <f t="shared" si="19"/>
        <v>10.581408000000001</v>
      </c>
      <c r="I214" s="13">
        <f t="shared" si="20"/>
        <v>375.85161216000006</v>
      </c>
      <c r="J214" s="126"/>
      <c r="K214" s="127"/>
      <c r="L214" s="127"/>
      <c r="M214" s="127"/>
      <c r="N214" s="127"/>
      <c r="O214" s="127"/>
      <c r="P214" s="127"/>
    </row>
    <row r="215" spans="1:16" ht="60" x14ac:dyDescent="0.25">
      <c r="A215" s="164">
        <v>196</v>
      </c>
      <c r="B215" s="207"/>
      <c r="C215" s="12" t="s">
        <v>70</v>
      </c>
      <c r="D215" s="25" t="s">
        <v>71</v>
      </c>
      <c r="E215" s="112" t="s">
        <v>8</v>
      </c>
      <c r="F215" s="20">
        <f>F214</f>
        <v>35.520000000000003</v>
      </c>
      <c r="G215" s="13">
        <v>4.21</v>
      </c>
      <c r="H215" s="13">
        <f t="shared" si="19"/>
        <v>5.1559869999999997</v>
      </c>
      <c r="I215" s="13">
        <f t="shared" si="20"/>
        <v>183.14065823999999</v>
      </c>
      <c r="J215" s="126"/>
      <c r="K215" s="127"/>
      <c r="L215" s="127"/>
      <c r="M215" s="127"/>
      <c r="N215" s="127"/>
      <c r="O215" s="127"/>
      <c r="P215" s="127"/>
    </row>
    <row r="216" spans="1:16" ht="60" x14ac:dyDescent="0.25">
      <c r="A216" s="164">
        <v>197</v>
      </c>
      <c r="B216" s="207"/>
      <c r="C216" s="12" t="s">
        <v>72</v>
      </c>
      <c r="D216" s="163" t="s">
        <v>177</v>
      </c>
      <c r="E216" s="112" t="s">
        <v>8</v>
      </c>
      <c r="F216" s="20">
        <f>3*1.5+0.8*2.1</f>
        <v>6.18</v>
      </c>
      <c r="G216" s="13">
        <v>22.57</v>
      </c>
      <c r="H216" s="13">
        <f t="shared" si="19"/>
        <v>27.641479</v>
      </c>
      <c r="I216" s="13">
        <f t="shared" si="20"/>
        <v>170.82434021999998</v>
      </c>
      <c r="J216" s="126"/>
      <c r="K216" s="127"/>
      <c r="L216" s="127"/>
      <c r="M216" s="127"/>
      <c r="N216" s="127"/>
      <c r="O216" s="127"/>
      <c r="P216" s="127"/>
    </row>
    <row r="217" spans="1:16" ht="60" x14ac:dyDescent="0.25">
      <c r="A217" s="164">
        <v>198</v>
      </c>
      <c r="B217" s="207"/>
      <c r="C217" s="160" t="s">
        <v>74</v>
      </c>
      <c r="D217" s="163" t="s">
        <v>75</v>
      </c>
      <c r="E217" s="112" t="s">
        <v>8</v>
      </c>
      <c r="F217" s="20">
        <v>11.97</v>
      </c>
      <c r="G217" s="13">
        <v>14.14</v>
      </c>
      <c r="H217" s="13">
        <f t="shared" si="19"/>
        <v>17.317258000000002</v>
      </c>
      <c r="I217" s="13">
        <f t="shared" si="20"/>
        <v>207.28757826000003</v>
      </c>
      <c r="J217" s="126"/>
      <c r="K217" s="127"/>
      <c r="L217" s="127"/>
      <c r="M217" s="127"/>
      <c r="N217" s="127"/>
      <c r="O217" s="127"/>
      <c r="P217" s="127"/>
    </row>
    <row r="218" spans="1:16" ht="60" x14ac:dyDescent="0.25">
      <c r="A218" s="164">
        <v>199</v>
      </c>
      <c r="B218" s="207"/>
      <c r="C218" s="113" t="s">
        <v>76</v>
      </c>
      <c r="D218" s="42" t="s">
        <v>77</v>
      </c>
      <c r="E218" s="112" t="s">
        <v>8</v>
      </c>
      <c r="F218" s="20">
        <v>11.97</v>
      </c>
      <c r="G218" s="13">
        <v>5.28</v>
      </c>
      <c r="H218" s="13">
        <f t="shared" si="19"/>
        <v>6.4664160000000006</v>
      </c>
      <c r="I218" s="13">
        <f t="shared" si="20"/>
        <v>77.402999520000009</v>
      </c>
      <c r="J218" s="126"/>
      <c r="K218" s="127"/>
      <c r="L218" s="127"/>
      <c r="M218" s="127"/>
      <c r="N218" s="127"/>
      <c r="O218" s="127"/>
      <c r="P218" s="127"/>
    </row>
    <row r="219" spans="1:16" ht="45" x14ac:dyDescent="0.25">
      <c r="A219" s="164">
        <v>200</v>
      </c>
      <c r="B219" s="207" t="s">
        <v>185</v>
      </c>
      <c r="C219" s="12" t="s">
        <v>68</v>
      </c>
      <c r="D219" s="25" t="s">
        <v>69</v>
      </c>
      <c r="E219" s="112" t="s">
        <v>8</v>
      </c>
      <c r="F219" s="20">
        <f>17.28*2.8-F221</f>
        <v>45.204000000000001</v>
      </c>
      <c r="G219" s="13">
        <v>8.64</v>
      </c>
      <c r="H219" s="13">
        <f t="shared" si="19"/>
        <v>10.581408000000001</v>
      </c>
      <c r="I219" s="13">
        <f t="shared" si="20"/>
        <v>478.32196723200008</v>
      </c>
      <c r="J219" s="126"/>
      <c r="K219" s="127"/>
      <c r="L219" s="127"/>
      <c r="M219" s="127"/>
      <c r="N219" s="127"/>
      <c r="O219" s="127"/>
      <c r="P219" s="127"/>
    </row>
    <row r="220" spans="1:16" ht="60" x14ac:dyDescent="0.25">
      <c r="A220" s="164">
        <v>201</v>
      </c>
      <c r="B220" s="207"/>
      <c r="C220" s="12" t="s">
        <v>70</v>
      </c>
      <c r="D220" s="25" t="s">
        <v>71</v>
      </c>
      <c r="E220" s="112" t="s">
        <v>8</v>
      </c>
      <c r="F220" s="20">
        <f>F219</f>
        <v>45.204000000000001</v>
      </c>
      <c r="G220" s="13">
        <v>4.21</v>
      </c>
      <c r="H220" s="13">
        <f t="shared" si="19"/>
        <v>5.1559869999999997</v>
      </c>
      <c r="I220" s="13">
        <f t="shared" si="20"/>
        <v>233.07123634799999</v>
      </c>
      <c r="J220" s="126"/>
      <c r="K220" s="127"/>
      <c r="L220" s="127"/>
      <c r="M220" s="127"/>
      <c r="N220" s="127"/>
      <c r="O220" s="127"/>
      <c r="P220" s="127"/>
    </row>
    <row r="221" spans="1:16" ht="60" x14ac:dyDescent="0.25">
      <c r="A221" s="164">
        <v>202</v>
      </c>
      <c r="B221" s="207"/>
      <c r="C221" s="12" t="s">
        <v>72</v>
      </c>
      <c r="D221" s="163" t="s">
        <v>177</v>
      </c>
      <c r="E221" s="112" t="s">
        <v>8</v>
      </c>
      <c r="F221" s="20">
        <f>1.5*1+0.8*2.1</f>
        <v>3.18</v>
      </c>
      <c r="G221" s="13">
        <v>22.57</v>
      </c>
      <c r="H221" s="13">
        <f t="shared" si="19"/>
        <v>27.641479</v>
      </c>
      <c r="I221" s="13">
        <f t="shared" si="20"/>
        <v>87.899903219999999</v>
      </c>
      <c r="J221" s="126"/>
      <c r="K221" s="127"/>
      <c r="L221" s="127"/>
      <c r="M221" s="127"/>
      <c r="N221" s="127"/>
      <c r="O221" s="127"/>
      <c r="P221" s="127"/>
    </row>
    <row r="222" spans="1:16" ht="60" x14ac:dyDescent="0.25">
      <c r="A222" s="164">
        <v>203</v>
      </c>
      <c r="B222" s="207"/>
      <c r="C222" s="160" t="s">
        <v>74</v>
      </c>
      <c r="D222" s="163" t="s">
        <v>75</v>
      </c>
      <c r="E222" s="112" t="s">
        <v>8</v>
      </c>
      <c r="F222" s="20">
        <v>12.6</v>
      </c>
      <c r="G222" s="13">
        <v>14.14</v>
      </c>
      <c r="H222" s="13">
        <f t="shared" ref="H222:H273" si="21">G222+G222*B$18</f>
        <v>17.317258000000002</v>
      </c>
      <c r="I222" s="13">
        <f t="shared" ref="I222:I273" si="22">H222*F222</f>
        <v>218.19745080000001</v>
      </c>
      <c r="J222" s="126"/>
      <c r="K222" s="127"/>
      <c r="L222" s="127"/>
      <c r="M222" s="127"/>
      <c r="N222" s="127"/>
      <c r="O222" s="127"/>
      <c r="P222" s="127"/>
    </row>
    <row r="223" spans="1:16" ht="60" x14ac:dyDescent="0.25">
      <c r="A223" s="164">
        <v>204</v>
      </c>
      <c r="B223" s="207"/>
      <c r="C223" s="113" t="s">
        <v>76</v>
      </c>
      <c r="D223" s="42" t="s">
        <v>77</v>
      </c>
      <c r="E223" s="112" t="s">
        <v>8</v>
      </c>
      <c r="F223" s="20">
        <v>12.6</v>
      </c>
      <c r="G223" s="13">
        <v>5.28</v>
      </c>
      <c r="H223" s="13">
        <f t="shared" si="21"/>
        <v>6.4664160000000006</v>
      </c>
      <c r="I223" s="13">
        <f t="shared" si="22"/>
        <v>81.4768416</v>
      </c>
      <c r="J223" s="126"/>
      <c r="K223" s="127"/>
      <c r="L223" s="127"/>
      <c r="M223" s="127"/>
      <c r="N223" s="127"/>
      <c r="O223" s="127"/>
      <c r="P223" s="127"/>
    </row>
    <row r="224" spans="1:16" ht="60" x14ac:dyDescent="0.25">
      <c r="A224" s="164">
        <v>205</v>
      </c>
      <c r="B224" s="207" t="s">
        <v>186</v>
      </c>
      <c r="C224" s="12" t="s">
        <v>72</v>
      </c>
      <c r="D224" s="163" t="s">
        <v>177</v>
      </c>
      <c r="E224" s="112" t="s">
        <v>8</v>
      </c>
      <c r="F224" s="20">
        <f>1.4*0.3+0.6*2.1</f>
        <v>1.68</v>
      </c>
      <c r="G224" s="13">
        <v>22.57</v>
      </c>
      <c r="H224" s="13">
        <f t="shared" si="21"/>
        <v>27.641479</v>
      </c>
      <c r="I224" s="13">
        <f t="shared" si="22"/>
        <v>46.43768472</v>
      </c>
      <c r="J224" s="126"/>
      <c r="K224" s="127"/>
      <c r="L224" s="127"/>
      <c r="M224" s="127"/>
      <c r="N224" s="127"/>
      <c r="O224" s="127"/>
      <c r="P224" s="127"/>
    </row>
    <row r="225" spans="1:16" ht="60" x14ac:dyDescent="0.25">
      <c r="A225" s="164">
        <v>206</v>
      </c>
      <c r="B225" s="207"/>
      <c r="C225" s="160" t="s">
        <v>74</v>
      </c>
      <c r="D225" s="163" t="s">
        <v>75</v>
      </c>
      <c r="E225" s="112" t="s">
        <v>8</v>
      </c>
      <c r="F225" s="20">
        <f>2.1</f>
        <v>2.1</v>
      </c>
      <c r="G225" s="13">
        <v>14.14</v>
      </c>
      <c r="H225" s="13">
        <f t="shared" si="21"/>
        <v>17.317258000000002</v>
      </c>
      <c r="I225" s="13">
        <f t="shared" si="22"/>
        <v>36.366241800000005</v>
      </c>
      <c r="J225" s="126"/>
      <c r="K225" s="127"/>
      <c r="L225" s="127"/>
      <c r="M225" s="127"/>
      <c r="N225" s="127"/>
      <c r="O225" s="127"/>
      <c r="P225" s="127"/>
    </row>
    <row r="226" spans="1:16" ht="60" x14ac:dyDescent="0.25">
      <c r="A226" s="164">
        <v>207</v>
      </c>
      <c r="B226" s="207"/>
      <c r="C226" s="113" t="s">
        <v>76</v>
      </c>
      <c r="D226" s="42" t="s">
        <v>77</v>
      </c>
      <c r="E226" s="112" t="s">
        <v>8</v>
      </c>
      <c r="F226" s="20">
        <v>2.1</v>
      </c>
      <c r="G226" s="13">
        <v>5.28</v>
      </c>
      <c r="H226" s="13">
        <f t="shared" si="21"/>
        <v>6.4664160000000006</v>
      </c>
      <c r="I226" s="13">
        <f t="shared" si="22"/>
        <v>13.579473600000002</v>
      </c>
      <c r="J226" s="126"/>
      <c r="K226" s="127"/>
      <c r="L226" s="127"/>
      <c r="M226" s="127"/>
      <c r="N226" s="127"/>
      <c r="O226" s="127"/>
      <c r="P226" s="127"/>
    </row>
    <row r="227" spans="1:16" ht="60" x14ac:dyDescent="0.25">
      <c r="A227" s="164">
        <v>208</v>
      </c>
      <c r="B227" s="207" t="s">
        <v>187</v>
      </c>
      <c r="C227" s="12" t="s">
        <v>72</v>
      </c>
      <c r="D227" s="163" t="s">
        <v>177</v>
      </c>
      <c r="E227" s="112" t="s">
        <v>8</v>
      </c>
      <c r="F227" s="20">
        <f>1.4*0.3+0.6*2.1</f>
        <v>1.68</v>
      </c>
      <c r="G227" s="13">
        <v>22.57</v>
      </c>
      <c r="H227" s="13">
        <f t="shared" si="21"/>
        <v>27.641479</v>
      </c>
      <c r="I227" s="13">
        <f t="shared" si="22"/>
        <v>46.43768472</v>
      </c>
      <c r="J227" s="126"/>
      <c r="K227" s="127"/>
      <c r="L227" s="127"/>
      <c r="M227" s="127"/>
      <c r="N227" s="127"/>
      <c r="O227" s="127"/>
      <c r="P227" s="127"/>
    </row>
    <row r="228" spans="1:16" ht="60" x14ac:dyDescent="0.25">
      <c r="A228" s="164">
        <v>209</v>
      </c>
      <c r="B228" s="207"/>
      <c r="C228" s="160" t="s">
        <v>74</v>
      </c>
      <c r="D228" s="163" t="s">
        <v>75</v>
      </c>
      <c r="E228" s="112" t="s">
        <v>8</v>
      </c>
      <c r="F228" s="20">
        <v>2.1</v>
      </c>
      <c r="G228" s="13">
        <v>14.14</v>
      </c>
      <c r="H228" s="13">
        <f t="shared" si="21"/>
        <v>17.317258000000002</v>
      </c>
      <c r="I228" s="13">
        <f t="shared" si="22"/>
        <v>36.366241800000005</v>
      </c>
      <c r="J228" s="126"/>
      <c r="K228" s="127"/>
      <c r="L228" s="127"/>
      <c r="M228" s="127"/>
      <c r="N228" s="127"/>
      <c r="O228" s="127"/>
      <c r="P228" s="127"/>
    </row>
    <row r="229" spans="1:16" ht="60" x14ac:dyDescent="0.25">
      <c r="A229" s="164">
        <v>210</v>
      </c>
      <c r="B229" s="207"/>
      <c r="C229" s="113" t="s">
        <v>76</v>
      </c>
      <c r="D229" s="42" t="s">
        <v>77</v>
      </c>
      <c r="E229" s="112" t="s">
        <v>8</v>
      </c>
      <c r="F229" s="20">
        <v>2.1</v>
      </c>
      <c r="G229" s="13">
        <v>5.28</v>
      </c>
      <c r="H229" s="13">
        <f t="shared" si="21"/>
        <v>6.4664160000000006</v>
      </c>
      <c r="I229" s="13">
        <f t="shared" si="22"/>
        <v>13.579473600000002</v>
      </c>
      <c r="J229" s="126"/>
      <c r="K229" s="127"/>
      <c r="L229" s="127"/>
      <c r="M229" s="127"/>
      <c r="N229" s="127"/>
      <c r="O229" s="127"/>
      <c r="P229" s="127"/>
    </row>
    <row r="230" spans="1:16" ht="60" x14ac:dyDescent="0.25">
      <c r="A230" s="164">
        <v>211</v>
      </c>
      <c r="B230" s="207" t="s">
        <v>188</v>
      </c>
      <c r="C230" s="12" t="s">
        <v>72</v>
      </c>
      <c r="D230" s="163" t="s">
        <v>177</v>
      </c>
      <c r="E230" s="112" t="s">
        <v>8</v>
      </c>
      <c r="F230" s="20">
        <f>2*0.5*0.5+0.8*2.1</f>
        <v>2.1800000000000002</v>
      </c>
      <c r="G230" s="13">
        <v>22.57</v>
      </c>
      <c r="H230" s="13">
        <f t="shared" si="21"/>
        <v>27.641479</v>
      </c>
      <c r="I230" s="13">
        <f t="shared" si="22"/>
        <v>60.258424220000002</v>
      </c>
      <c r="J230" s="126"/>
      <c r="K230" s="127"/>
      <c r="L230" s="127"/>
      <c r="M230" s="127"/>
      <c r="N230" s="127"/>
      <c r="O230" s="127"/>
      <c r="P230" s="127"/>
    </row>
    <row r="231" spans="1:16" ht="60" x14ac:dyDescent="0.25">
      <c r="A231" s="164">
        <v>212</v>
      </c>
      <c r="B231" s="207"/>
      <c r="C231" s="160" t="s">
        <v>74</v>
      </c>
      <c r="D231" s="163" t="s">
        <v>75</v>
      </c>
      <c r="E231" s="112" t="s">
        <v>8</v>
      </c>
      <c r="F231" s="20">
        <v>10.17</v>
      </c>
      <c r="G231" s="13">
        <v>14.14</v>
      </c>
      <c r="H231" s="13">
        <f t="shared" si="21"/>
        <v>17.317258000000002</v>
      </c>
      <c r="I231" s="13">
        <f t="shared" si="22"/>
        <v>176.11651386000003</v>
      </c>
      <c r="J231" s="126"/>
      <c r="K231" s="127"/>
      <c r="L231" s="127"/>
      <c r="M231" s="127"/>
      <c r="N231" s="127"/>
      <c r="O231" s="127"/>
      <c r="P231" s="127"/>
    </row>
    <row r="232" spans="1:16" ht="60" x14ac:dyDescent="0.25">
      <c r="A232" s="164">
        <v>213</v>
      </c>
      <c r="B232" s="207"/>
      <c r="C232" s="113" t="s">
        <v>76</v>
      </c>
      <c r="D232" s="42" t="s">
        <v>77</v>
      </c>
      <c r="E232" s="112" t="s">
        <v>8</v>
      </c>
      <c r="F232" s="20">
        <v>10.17</v>
      </c>
      <c r="G232" s="13">
        <v>5.28</v>
      </c>
      <c r="H232" s="13">
        <f t="shared" si="21"/>
        <v>6.4664160000000006</v>
      </c>
      <c r="I232" s="13">
        <f t="shared" si="22"/>
        <v>65.763450720000009</v>
      </c>
      <c r="J232" s="126"/>
      <c r="K232" s="127"/>
      <c r="L232" s="127"/>
      <c r="M232" s="127"/>
      <c r="N232" s="127"/>
      <c r="O232" s="127"/>
      <c r="P232" s="127"/>
    </row>
    <row r="233" spans="1:16" ht="60" x14ac:dyDescent="0.25">
      <c r="A233" s="164">
        <v>214</v>
      </c>
      <c r="B233" s="207" t="s">
        <v>189</v>
      </c>
      <c r="C233" s="12" t="s">
        <v>72</v>
      </c>
      <c r="D233" s="163" t="s">
        <v>177</v>
      </c>
      <c r="E233" s="112" t="s">
        <v>8</v>
      </c>
      <c r="F233" s="20">
        <f>2*0.5*0.5+0.8*2.1</f>
        <v>2.1800000000000002</v>
      </c>
      <c r="G233" s="13">
        <v>22.57</v>
      </c>
      <c r="H233" s="13">
        <f t="shared" si="21"/>
        <v>27.641479</v>
      </c>
      <c r="I233" s="13">
        <f t="shared" si="22"/>
        <v>60.258424220000002</v>
      </c>
      <c r="J233" s="126"/>
      <c r="K233" s="127"/>
      <c r="L233" s="127"/>
      <c r="M233" s="127"/>
      <c r="N233" s="127"/>
      <c r="O233" s="127"/>
      <c r="P233" s="127"/>
    </row>
    <row r="234" spans="1:16" ht="60" x14ac:dyDescent="0.25">
      <c r="A234" s="164">
        <v>215</v>
      </c>
      <c r="B234" s="207"/>
      <c r="C234" s="160" t="s">
        <v>74</v>
      </c>
      <c r="D234" s="163" t="s">
        <v>75</v>
      </c>
      <c r="E234" s="112" t="s">
        <v>8</v>
      </c>
      <c r="F234" s="20">
        <v>8.9700000000000006</v>
      </c>
      <c r="G234" s="13">
        <v>14.14</v>
      </c>
      <c r="H234" s="13">
        <f t="shared" si="21"/>
        <v>17.317258000000002</v>
      </c>
      <c r="I234" s="13">
        <f t="shared" si="22"/>
        <v>155.33580426000003</v>
      </c>
      <c r="J234" s="126"/>
      <c r="K234" s="127"/>
      <c r="L234" s="127"/>
      <c r="M234" s="127"/>
      <c r="N234" s="127"/>
      <c r="O234" s="127"/>
      <c r="P234" s="127"/>
    </row>
    <row r="235" spans="1:16" ht="60" x14ac:dyDescent="0.25">
      <c r="A235" s="164">
        <v>216</v>
      </c>
      <c r="B235" s="207"/>
      <c r="C235" s="113" t="s">
        <v>76</v>
      </c>
      <c r="D235" s="42" t="s">
        <v>77</v>
      </c>
      <c r="E235" s="112" t="s">
        <v>8</v>
      </c>
      <c r="F235" s="20">
        <v>8.9700000000000006</v>
      </c>
      <c r="G235" s="13">
        <v>5.28</v>
      </c>
      <c r="H235" s="13">
        <f t="shared" si="21"/>
        <v>6.4664160000000006</v>
      </c>
      <c r="I235" s="13">
        <f t="shared" si="22"/>
        <v>58.003751520000009</v>
      </c>
      <c r="J235" s="126"/>
      <c r="K235" s="127"/>
      <c r="L235" s="127"/>
      <c r="M235" s="127"/>
      <c r="N235" s="127"/>
      <c r="O235" s="127"/>
      <c r="P235" s="127"/>
    </row>
    <row r="236" spans="1:16" ht="60" x14ac:dyDescent="0.25">
      <c r="A236" s="164">
        <v>217</v>
      </c>
      <c r="B236" s="207" t="s">
        <v>190</v>
      </c>
      <c r="C236" s="12" t="s">
        <v>72</v>
      </c>
      <c r="D236" s="163" t="s">
        <v>177</v>
      </c>
      <c r="E236" s="112" t="s">
        <v>8</v>
      </c>
      <c r="F236" s="20">
        <f>1*2.1+0.5*0.5</f>
        <v>2.35</v>
      </c>
      <c r="G236" s="13">
        <v>22.57</v>
      </c>
      <c r="H236" s="13">
        <f t="shared" si="21"/>
        <v>27.641479</v>
      </c>
      <c r="I236" s="13">
        <f t="shared" si="22"/>
        <v>64.957475650000006</v>
      </c>
      <c r="J236" s="126"/>
      <c r="K236" s="127"/>
      <c r="L236" s="127"/>
      <c r="M236" s="127"/>
      <c r="N236" s="127"/>
      <c r="O236" s="127"/>
      <c r="P236" s="127"/>
    </row>
    <row r="237" spans="1:16" ht="60" x14ac:dyDescent="0.25">
      <c r="A237" s="164">
        <v>218</v>
      </c>
      <c r="B237" s="207"/>
      <c r="C237" s="160" t="s">
        <v>74</v>
      </c>
      <c r="D237" s="163" t="s">
        <v>75</v>
      </c>
      <c r="E237" s="112" t="s">
        <v>8</v>
      </c>
      <c r="F237" s="20">
        <v>4.0250000000000004</v>
      </c>
      <c r="G237" s="13">
        <v>14.14</v>
      </c>
      <c r="H237" s="13">
        <f t="shared" si="21"/>
        <v>17.317258000000002</v>
      </c>
      <c r="I237" s="13">
        <f t="shared" si="22"/>
        <v>69.701963450000022</v>
      </c>
      <c r="J237" s="126"/>
      <c r="K237" s="127"/>
      <c r="L237" s="127"/>
      <c r="M237" s="127"/>
      <c r="N237" s="127"/>
      <c r="O237" s="127"/>
      <c r="P237" s="127"/>
    </row>
    <row r="238" spans="1:16" ht="60" x14ac:dyDescent="0.25">
      <c r="A238" s="164">
        <v>219</v>
      </c>
      <c r="B238" s="207"/>
      <c r="C238" s="113" t="s">
        <v>76</v>
      </c>
      <c r="D238" s="42" t="s">
        <v>77</v>
      </c>
      <c r="E238" s="112" t="s">
        <v>8</v>
      </c>
      <c r="F238" s="20">
        <v>4.0250000000000004</v>
      </c>
      <c r="G238" s="13">
        <v>5.28</v>
      </c>
      <c r="H238" s="13">
        <f t="shared" si="21"/>
        <v>6.4664160000000006</v>
      </c>
      <c r="I238" s="13">
        <f t="shared" si="22"/>
        <v>26.027324400000005</v>
      </c>
      <c r="J238" s="126"/>
      <c r="K238" s="127"/>
      <c r="L238" s="127"/>
      <c r="M238" s="127"/>
      <c r="N238" s="127"/>
      <c r="O238" s="127"/>
      <c r="P238" s="127"/>
    </row>
    <row r="239" spans="1:16" ht="45" x14ac:dyDescent="0.25">
      <c r="A239" s="164">
        <v>220</v>
      </c>
      <c r="B239" s="207" t="s">
        <v>117</v>
      </c>
      <c r="C239" s="12" t="s">
        <v>68</v>
      </c>
      <c r="D239" s="25" t="s">
        <v>69</v>
      </c>
      <c r="E239" s="112" t="s">
        <v>8</v>
      </c>
      <c r="F239" s="20">
        <f>27.4*3.9-F241</f>
        <v>98.179999999999978</v>
      </c>
      <c r="G239" s="13">
        <v>8.64</v>
      </c>
      <c r="H239" s="13">
        <f t="shared" si="21"/>
        <v>10.581408000000001</v>
      </c>
      <c r="I239" s="13">
        <f t="shared" si="22"/>
        <v>1038.8826374399998</v>
      </c>
      <c r="J239" s="126"/>
      <c r="K239" s="127"/>
      <c r="L239" s="127"/>
      <c r="M239" s="127"/>
      <c r="N239" s="127"/>
      <c r="O239" s="127"/>
      <c r="P239" s="127"/>
    </row>
    <row r="240" spans="1:16" ht="60" x14ac:dyDescent="0.25">
      <c r="A240" s="164">
        <v>221</v>
      </c>
      <c r="B240" s="207"/>
      <c r="C240" s="12" t="s">
        <v>70</v>
      </c>
      <c r="D240" s="25" t="s">
        <v>71</v>
      </c>
      <c r="E240" s="112" t="s">
        <v>8</v>
      </c>
      <c r="F240" s="20">
        <f>F239</f>
        <v>98.179999999999978</v>
      </c>
      <c r="G240" s="13">
        <v>4.21</v>
      </c>
      <c r="H240" s="13">
        <f t="shared" si="21"/>
        <v>5.1559869999999997</v>
      </c>
      <c r="I240" s="13">
        <f t="shared" si="22"/>
        <v>506.21480365999986</v>
      </c>
      <c r="J240" s="126"/>
      <c r="K240" s="127"/>
      <c r="L240" s="127"/>
      <c r="M240" s="127"/>
      <c r="N240" s="127"/>
      <c r="O240" s="127"/>
      <c r="P240" s="127"/>
    </row>
    <row r="241" spans="1:16" ht="60" x14ac:dyDescent="0.25">
      <c r="A241" s="164">
        <v>222</v>
      </c>
      <c r="B241" s="207"/>
      <c r="C241" s="12" t="s">
        <v>72</v>
      </c>
      <c r="D241" s="163" t="s">
        <v>177</v>
      </c>
      <c r="E241" s="112" t="s">
        <v>8</v>
      </c>
      <c r="F241" s="20">
        <f>2*2*1.15+2*1.2+0.8*2.1</f>
        <v>8.68</v>
      </c>
      <c r="G241" s="13">
        <v>22.57</v>
      </c>
      <c r="H241" s="13">
        <f t="shared" si="21"/>
        <v>27.641479</v>
      </c>
      <c r="I241" s="13">
        <f t="shared" si="22"/>
        <v>239.92803771999999</v>
      </c>
      <c r="J241" s="126"/>
      <c r="K241" s="127"/>
      <c r="L241" s="127"/>
      <c r="M241" s="127"/>
      <c r="N241" s="127"/>
      <c r="O241" s="127"/>
      <c r="P241" s="127"/>
    </row>
    <row r="242" spans="1:16" ht="60" x14ac:dyDescent="0.25">
      <c r="A242" s="164">
        <v>223</v>
      </c>
      <c r="B242" s="207"/>
      <c r="C242" s="160" t="s">
        <v>74</v>
      </c>
      <c r="D242" s="163" t="s">
        <v>75</v>
      </c>
      <c r="E242" s="112" t="s">
        <v>8</v>
      </c>
      <c r="F242" s="20">
        <v>44.67</v>
      </c>
      <c r="G242" s="13">
        <v>14.14</v>
      </c>
      <c r="H242" s="13">
        <f t="shared" si="21"/>
        <v>17.317258000000002</v>
      </c>
      <c r="I242" s="13">
        <f t="shared" si="22"/>
        <v>773.56191486000012</v>
      </c>
      <c r="J242" s="126"/>
      <c r="K242" s="127"/>
      <c r="L242" s="127"/>
      <c r="M242" s="127"/>
      <c r="N242" s="127"/>
      <c r="O242" s="127"/>
      <c r="P242" s="127"/>
    </row>
    <row r="243" spans="1:16" ht="60" x14ac:dyDescent="0.25">
      <c r="A243" s="164">
        <v>224</v>
      </c>
      <c r="B243" s="207"/>
      <c r="C243" s="113" t="s">
        <v>76</v>
      </c>
      <c r="D243" s="42" t="s">
        <v>77</v>
      </c>
      <c r="E243" s="112" t="s">
        <v>8</v>
      </c>
      <c r="F243" s="20">
        <v>44.67</v>
      </c>
      <c r="G243" s="13">
        <v>5.28</v>
      </c>
      <c r="H243" s="13">
        <f t="shared" si="21"/>
        <v>6.4664160000000006</v>
      </c>
      <c r="I243" s="13">
        <f t="shared" si="22"/>
        <v>288.85480272000007</v>
      </c>
      <c r="J243" s="126"/>
      <c r="K243" s="127"/>
      <c r="L243" s="127"/>
      <c r="M243" s="127"/>
      <c r="N243" s="127"/>
      <c r="O243" s="127"/>
      <c r="P243" s="127"/>
    </row>
    <row r="244" spans="1:16" ht="45" x14ac:dyDescent="0.25">
      <c r="A244" s="164">
        <v>225</v>
      </c>
      <c r="B244" s="207" t="s">
        <v>118</v>
      </c>
      <c r="C244" s="12" t="s">
        <v>68</v>
      </c>
      <c r="D244" s="25" t="s">
        <v>69</v>
      </c>
      <c r="E244" s="112" t="s">
        <v>8</v>
      </c>
      <c r="F244" s="20">
        <f>25.36*3.3-F246</f>
        <v>70.362999999999985</v>
      </c>
      <c r="G244" s="13">
        <v>8.64</v>
      </c>
      <c r="H244" s="13">
        <f t="shared" si="21"/>
        <v>10.581408000000001</v>
      </c>
      <c r="I244" s="13">
        <f t="shared" si="22"/>
        <v>744.53961110399996</v>
      </c>
      <c r="J244" s="126"/>
      <c r="K244" s="127"/>
      <c r="L244" s="127"/>
      <c r="M244" s="127"/>
      <c r="N244" s="127"/>
      <c r="O244" s="127"/>
      <c r="P244" s="127"/>
    </row>
    <row r="245" spans="1:16" ht="60" x14ac:dyDescent="0.25">
      <c r="A245" s="164">
        <v>226</v>
      </c>
      <c r="B245" s="207"/>
      <c r="C245" s="12" t="s">
        <v>70</v>
      </c>
      <c r="D245" s="25" t="s">
        <v>71</v>
      </c>
      <c r="E245" s="112" t="s">
        <v>8</v>
      </c>
      <c r="F245" s="20">
        <f>F244</f>
        <v>70.362999999999985</v>
      </c>
      <c r="G245" s="13">
        <v>4.21</v>
      </c>
      <c r="H245" s="13">
        <f t="shared" si="21"/>
        <v>5.1559869999999997</v>
      </c>
      <c r="I245" s="13">
        <f t="shared" si="22"/>
        <v>362.79071328099991</v>
      </c>
      <c r="J245" s="126"/>
      <c r="K245" s="127"/>
      <c r="L245" s="127"/>
      <c r="M245" s="127"/>
      <c r="N245" s="127"/>
      <c r="O245" s="127"/>
      <c r="P245" s="127"/>
    </row>
    <row r="246" spans="1:16" ht="60" x14ac:dyDescent="0.25">
      <c r="A246" s="164">
        <v>227</v>
      </c>
      <c r="B246" s="207"/>
      <c r="C246" s="12" t="s">
        <v>72</v>
      </c>
      <c r="D246" s="163" t="s">
        <v>177</v>
      </c>
      <c r="E246" s="112" t="s">
        <v>8</v>
      </c>
      <c r="F246" s="20">
        <f>6.85*1.7+0.8*2.1</f>
        <v>13.324999999999999</v>
      </c>
      <c r="G246" s="13">
        <v>22.57</v>
      </c>
      <c r="H246" s="13">
        <f t="shared" si="21"/>
        <v>27.641479</v>
      </c>
      <c r="I246" s="13">
        <f t="shared" si="22"/>
        <v>368.322707675</v>
      </c>
      <c r="J246" s="126"/>
      <c r="K246" s="127"/>
      <c r="L246" s="127"/>
      <c r="M246" s="127"/>
      <c r="N246" s="127"/>
      <c r="O246" s="127"/>
      <c r="P246" s="127"/>
    </row>
    <row r="247" spans="1:16" ht="60" x14ac:dyDescent="0.25">
      <c r="A247" s="164">
        <v>228</v>
      </c>
      <c r="B247" s="207"/>
      <c r="C247" s="160" t="s">
        <v>74</v>
      </c>
      <c r="D247" s="163" t="s">
        <v>75</v>
      </c>
      <c r="E247" s="112" t="s">
        <v>8</v>
      </c>
      <c r="F247" s="20">
        <v>36.81</v>
      </c>
      <c r="G247" s="13">
        <v>14.14</v>
      </c>
      <c r="H247" s="13">
        <f t="shared" si="21"/>
        <v>17.317258000000002</v>
      </c>
      <c r="I247" s="13">
        <f t="shared" si="22"/>
        <v>637.44826698000008</v>
      </c>
      <c r="J247" s="126"/>
      <c r="K247" s="127"/>
      <c r="L247" s="127"/>
      <c r="M247" s="127"/>
      <c r="N247" s="127"/>
      <c r="O247" s="127"/>
      <c r="P247" s="127"/>
    </row>
    <row r="248" spans="1:16" ht="60" x14ac:dyDescent="0.25">
      <c r="A248" s="164">
        <v>229</v>
      </c>
      <c r="B248" s="207"/>
      <c r="C248" s="113" t="s">
        <v>76</v>
      </c>
      <c r="D248" s="42" t="s">
        <v>77</v>
      </c>
      <c r="E248" s="112" t="s">
        <v>8</v>
      </c>
      <c r="F248" s="20">
        <v>36.81</v>
      </c>
      <c r="G248" s="13">
        <v>5.28</v>
      </c>
      <c r="H248" s="13">
        <f t="shared" si="21"/>
        <v>6.4664160000000006</v>
      </c>
      <c r="I248" s="13">
        <f t="shared" si="22"/>
        <v>238.02877296000003</v>
      </c>
      <c r="J248" s="126"/>
      <c r="K248" s="127"/>
      <c r="L248" s="127"/>
      <c r="M248" s="127"/>
      <c r="N248" s="127"/>
      <c r="O248" s="127"/>
      <c r="P248" s="127"/>
    </row>
    <row r="249" spans="1:16" ht="45" x14ac:dyDescent="0.25">
      <c r="A249" s="164">
        <v>230</v>
      </c>
      <c r="B249" s="207" t="s">
        <v>126</v>
      </c>
      <c r="C249" s="12" t="s">
        <v>68</v>
      </c>
      <c r="D249" s="25" t="s">
        <v>69</v>
      </c>
      <c r="E249" s="112" t="s">
        <v>8</v>
      </c>
      <c r="F249" s="20">
        <f>25.06*3.3-F251</f>
        <v>69.37299999999999</v>
      </c>
      <c r="G249" s="13">
        <v>8.64</v>
      </c>
      <c r="H249" s="13">
        <f t="shared" si="21"/>
        <v>10.581408000000001</v>
      </c>
      <c r="I249" s="13">
        <f t="shared" si="22"/>
        <v>734.06401718400002</v>
      </c>
      <c r="J249" s="126"/>
      <c r="K249" s="127"/>
      <c r="L249" s="127"/>
      <c r="M249" s="127"/>
      <c r="N249" s="127"/>
      <c r="O249" s="127"/>
      <c r="P249" s="127"/>
    </row>
    <row r="250" spans="1:16" ht="60" x14ac:dyDescent="0.25">
      <c r="A250" s="164">
        <v>231</v>
      </c>
      <c r="B250" s="207"/>
      <c r="C250" s="12" t="s">
        <v>70</v>
      </c>
      <c r="D250" s="25" t="s">
        <v>71</v>
      </c>
      <c r="E250" s="112" t="s">
        <v>8</v>
      </c>
      <c r="F250" s="20">
        <f>F249</f>
        <v>69.37299999999999</v>
      </c>
      <c r="G250" s="13">
        <v>4.21</v>
      </c>
      <c r="H250" s="13">
        <f t="shared" si="21"/>
        <v>5.1559869999999997</v>
      </c>
      <c r="I250" s="13">
        <f t="shared" si="22"/>
        <v>357.68628615099993</v>
      </c>
      <c r="J250" s="126"/>
      <c r="K250" s="127"/>
      <c r="L250" s="127"/>
      <c r="M250" s="127"/>
      <c r="N250" s="127"/>
      <c r="O250" s="127"/>
      <c r="P250" s="127"/>
    </row>
    <row r="251" spans="1:16" ht="60" x14ac:dyDescent="0.25">
      <c r="A251" s="164">
        <v>232</v>
      </c>
      <c r="B251" s="207"/>
      <c r="C251" s="12" t="s">
        <v>72</v>
      </c>
      <c r="D251" s="163" t="s">
        <v>177</v>
      </c>
      <c r="E251" s="112" t="s">
        <v>8</v>
      </c>
      <c r="F251" s="20">
        <f>F246</f>
        <v>13.324999999999999</v>
      </c>
      <c r="G251" s="13">
        <v>22.57</v>
      </c>
      <c r="H251" s="13">
        <f t="shared" si="21"/>
        <v>27.641479</v>
      </c>
      <c r="I251" s="13">
        <f t="shared" si="22"/>
        <v>368.322707675</v>
      </c>
      <c r="J251" s="126"/>
      <c r="K251" s="127"/>
      <c r="L251" s="127"/>
      <c r="M251" s="127"/>
      <c r="N251" s="127"/>
      <c r="O251" s="127"/>
      <c r="P251" s="127"/>
    </row>
    <row r="252" spans="1:16" ht="60" x14ac:dyDescent="0.25">
      <c r="A252" s="164">
        <v>233</v>
      </c>
      <c r="B252" s="207"/>
      <c r="C252" s="160" t="s">
        <v>74</v>
      </c>
      <c r="D252" s="163" t="s">
        <v>75</v>
      </c>
      <c r="E252" s="112" t="s">
        <v>8</v>
      </c>
      <c r="F252" s="20">
        <v>36.14</v>
      </c>
      <c r="G252" s="13">
        <v>14.14</v>
      </c>
      <c r="H252" s="13">
        <f t="shared" si="21"/>
        <v>17.317258000000002</v>
      </c>
      <c r="I252" s="13">
        <f t="shared" si="22"/>
        <v>625.84570412000005</v>
      </c>
      <c r="J252" s="126"/>
      <c r="K252" s="127"/>
      <c r="L252" s="127"/>
      <c r="M252" s="127"/>
      <c r="N252" s="127"/>
      <c r="O252" s="127"/>
      <c r="P252" s="127"/>
    </row>
    <row r="253" spans="1:16" ht="60" x14ac:dyDescent="0.25">
      <c r="A253" s="164">
        <v>234</v>
      </c>
      <c r="B253" s="207"/>
      <c r="C253" s="113" t="s">
        <v>76</v>
      </c>
      <c r="D253" s="42" t="s">
        <v>77</v>
      </c>
      <c r="E253" s="112" t="s">
        <v>8</v>
      </c>
      <c r="F253" s="20">
        <v>36.14</v>
      </c>
      <c r="G253" s="13">
        <v>5.28</v>
      </c>
      <c r="H253" s="13">
        <f t="shared" si="21"/>
        <v>6.4664160000000006</v>
      </c>
      <c r="I253" s="13">
        <f t="shared" si="22"/>
        <v>233.69627424000004</v>
      </c>
      <c r="J253" s="126"/>
      <c r="K253" s="127"/>
      <c r="L253" s="127"/>
      <c r="M253" s="127"/>
      <c r="N253" s="127"/>
      <c r="O253" s="127"/>
      <c r="P253" s="127"/>
    </row>
    <row r="254" spans="1:16" ht="45" x14ac:dyDescent="0.25">
      <c r="A254" s="164">
        <v>235</v>
      </c>
      <c r="B254" s="207" t="s">
        <v>127</v>
      </c>
      <c r="C254" s="12" t="s">
        <v>68</v>
      </c>
      <c r="D254" s="25" t="s">
        <v>69</v>
      </c>
      <c r="E254" s="112" t="s">
        <v>8</v>
      </c>
      <c r="F254" s="20">
        <f>25.12*3.3-F256</f>
        <v>69.570999999999998</v>
      </c>
      <c r="G254" s="13">
        <v>8.64</v>
      </c>
      <c r="H254" s="13">
        <f t="shared" si="21"/>
        <v>10.581408000000001</v>
      </c>
      <c r="I254" s="13">
        <f t="shared" si="22"/>
        <v>736.1591359680001</v>
      </c>
      <c r="J254" s="126"/>
      <c r="K254" s="127"/>
      <c r="L254" s="127"/>
      <c r="M254" s="127"/>
      <c r="N254" s="127"/>
      <c r="O254" s="127"/>
      <c r="P254" s="127"/>
    </row>
    <row r="255" spans="1:16" ht="60" x14ac:dyDescent="0.25">
      <c r="A255" s="164">
        <v>236</v>
      </c>
      <c r="B255" s="207"/>
      <c r="C255" s="12" t="s">
        <v>70</v>
      </c>
      <c r="D255" s="25" t="s">
        <v>71</v>
      </c>
      <c r="E255" s="112" t="s">
        <v>8</v>
      </c>
      <c r="F255" s="20">
        <f>F254</f>
        <v>69.570999999999998</v>
      </c>
      <c r="G255" s="13">
        <v>4.21</v>
      </c>
      <c r="H255" s="13">
        <f t="shared" si="21"/>
        <v>5.1559869999999997</v>
      </c>
      <c r="I255" s="13">
        <f t="shared" si="22"/>
        <v>358.70717157699994</v>
      </c>
      <c r="J255" s="126"/>
      <c r="K255" s="127"/>
      <c r="L255" s="127"/>
      <c r="M255" s="127"/>
      <c r="N255" s="127"/>
      <c r="O255" s="127"/>
      <c r="P255" s="127"/>
    </row>
    <row r="256" spans="1:16" ht="60" x14ac:dyDescent="0.25">
      <c r="A256" s="164">
        <v>237</v>
      </c>
      <c r="B256" s="207"/>
      <c r="C256" s="12" t="s">
        <v>72</v>
      </c>
      <c r="D256" s="163" t="s">
        <v>177</v>
      </c>
      <c r="E256" s="112" t="s">
        <v>8</v>
      </c>
      <c r="F256" s="20">
        <f>F251</f>
        <v>13.324999999999999</v>
      </c>
      <c r="G256" s="13">
        <v>22.57</v>
      </c>
      <c r="H256" s="13">
        <f t="shared" si="21"/>
        <v>27.641479</v>
      </c>
      <c r="I256" s="13">
        <f t="shared" si="22"/>
        <v>368.322707675</v>
      </c>
      <c r="J256" s="126"/>
      <c r="K256" s="127"/>
      <c r="L256" s="127"/>
      <c r="M256" s="127"/>
      <c r="N256" s="127"/>
      <c r="O256" s="127"/>
      <c r="P256" s="127"/>
    </row>
    <row r="257" spans="1:16" ht="60" x14ac:dyDescent="0.25">
      <c r="A257" s="164">
        <v>238</v>
      </c>
      <c r="B257" s="207"/>
      <c r="C257" s="160" t="s">
        <v>74</v>
      </c>
      <c r="D257" s="163" t="s">
        <v>75</v>
      </c>
      <c r="E257" s="112" t="s">
        <v>8</v>
      </c>
      <c r="F257" s="20">
        <v>36.270000000000003</v>
      </c>
      <c r="G257" s="13">
        <v>14.14</v>
      </c>
      <c r="H257" s="13">
        <f t="shared" si="21"/>
        <v>17.317258000000002</v>
      </c>
      <c r="I257" s="13">
        <f t="shared" si="22"/>
        <v>628.09694766000018</v>
      </c>
      <c r="J257" s="126"/>
      <c r="K257" s="127"/>
      <c r="L257" s="127"/>
      <c r="M257" s="127"/>
      <c r="N257" s="127"/>
      <c r="O257" s="127"/>
      <c r="P257" s="127"/>
    </row>
    <row r="258" spans="1:16" ht="60" x14ac:dyDescent="0.25">
      <c r="A258" s="164">
        <v>239</v>
      </c>
      <c r="B258" s="207"/>
      <c r="C258" s="113" t="s">
        <v>76</v>
      </c>
      <c r="D258" s="42" t="s">
        <v>77</v>
      </c>
      <c r="E258" s="112" t="s">
        <v>8</v>
      </c>
      <c r="F258" s="20">
        <v>36.270000000000003</v>
      </c>
      <c r="G258" s="13">
        <v>5.28</v>
      </c>
      <c r="H258" s="13">
        <f t="shared" si="21"/>
        <v>6.4664160000000006</v>
      </c>
      <c r="I258" s="13">
        <f t="shared" si="22"/>
        <v>234.53690832000004</v>
      </c>
      <c r="J258" s="126"/>
      <c r="K258" s="127"/>
      <c r="L258" s="127"/>
      <c r="M258" s="127"/>
      <c r="N258" s="127"/>
      <c r="O258" s="127"/>
      <c r="P258" s="127"/>
    </row>
    <row r="259" spans="1:16" ht="45" x14ac:dyDescent="0.25">
      <c r="A259" s="164">
        <v>240</v>
      </c>
      <c r="B259" s="207" t="s">
        <v>191</v>
      </c>
      <c r="C259" s="12" t="s">
        <v>68</v>
      </c>
      <c r="D259" s="25" t="s">
        <v>69</v>
      </c>
      <c r="E259" s="112" t="s">
        <v>8</v>
      </c>
      <c r="F259" s="20">
        <f>25.42*3.5-F261</f>
        <v>83.69</v>
      </c>
      <c r="G259" s="13">
        <v>8.64</v>
      </c>
      <c r="H259" s="13">
        <f t="shared" si="21"/>
        <v>10.581408000000001</v>
      </c>
      <c r="I259" s="13">
        <f t="shared" si="22"/>
        <v>885.55803552000009</v>
      </c>
      <c r="J259" s="126"/>
      <c r="K259" s="127"/>
      <c r="L259" s="127"/>
      <c r="M259" s="127"/>
      <c r="N259" s="127"/>
      <c r="O259" s="127"/>
      <c r="P259" s="127"/>
    </row>
    <row r="260" spans="1:16" ht="60" x14ac:dyDescent="0.25">
      <c r="A260" s="164">
        <v>241</v>
      </c>
      <c r="B260" s="207"/>
      <c r="C260" s="12" t="s">
        <v>70</v>
      </c>
      <c r="D260" s="25" t="s">
        <v>71</v>
      </c>
      <c r="E260" s="112" t="s">
        <v>8</v>
      </c>
      <c r="F260" s="20">
        <f>F259</f>
        <v>83.69</v>
      </c>
      <c r="G260" s="13">
        <v>4.21</v>
      </c>
      <c r="H260" s="13">
        <f t="shared" si="21"/>
        <v>5.1559869999999997</v>
      </c>
      <c r="I260" s="13">
        <f t="shared" si="22"/>
        <v>431.50455202999996</v>
      </c>
      <c r="J260" s="126"/>
      <c r="K260" s="127"/>
      <c r="L260" s="127"/>
      <c r="M260" s="127"/>
      <c r="N260" s="127"/>
      <c r="O260" s="127"/>
      <c r="P260" s="127"/>
    </row>
    <row r="261" spans="1:16" ht="60" x14ac:dyDescent="0.25">
      <c r="A261" s="164">
        <v>242</v>
      </c>
      <c r="B261" s="207"/>
      <c r="C261" s="12" t="s">
        <v>72</v>
      </c>
      <c r="D261" s="163" t="s">
        <v>177</v>
      </c>
      <c r="E261" s="112" t="s">
        <v>8</v>
      </c>
      <c r="F261" s="20">
        <f>2*1.5*1.2+0.8*2.1</f>
        <v>5.2799999999999994</v>
      </c>
      <c r="G261" s="13">
        <v>22.57</v>
      </c>
      <c r="H261" s="13">
        <f t="shared" si="21"/>
        <v>27.641479</v>
      </c>
      <c r="I261" s="13">
        <f t="shared" si="22"/>
        <v>145.94700911999999</v>
      </c>
      <c r="J261" s="126"/>
      <c r="K261" s="127"/>
      <c r="L261" s="127"/>
      <c r="M261" s="127"/>
      <c r="N261" s="127"/>
      <c r="O261" s="127"/>
      <c r="P261" s="127"/>
    </row>
    <row r="262" spans="1:16" ht="60" x14ac:dyDescent="0.25">
      <c r="A262" s="164">
        <v>243</v>
      </c>
      <c r="B262" s="207"/>
      <c r="C262" s="160" t="s">
        <v>74</v>
      </c>
      <c r="D262" s="163" t="s">
        <v>75</v>
      </c>
      <c r="E262" s="112" t="s">
        <v>8</v>
      </c>
      <c r="F262" s="20">
        <v>38.549999999999997</v>
      </c>
      <c r="G262" s="13">
        <v>14.14</v>
      </c>
      <c r="H262" s="13">
        <f t="shared" si="21"/>
        <v>17.317258000000002</v>
      </c>
      <c r="I262" s="13">
        <f t="shared" si="22"/>
        <v>667.58029590000001</v>
      </c>
      <c r="J262" s="126"/>
      <c r="K262" s="127"/>
      <c r="L262" s="127"/>
      <c r="M262" s="127"/>
      <c r="N262" s="127"/>
      <c r="O262" s="127"/>
      <c r="P262" s="127"/>
    </row>
    <row r="263" spans="1:16" ht="60" x14ac:dyDescent="0.25">
      <c r="A263" s="164">
        <v>244</v>
      </c>
      <c r="B263" s="207"/>
      <c r="C263" s="113" t="s">
        <v>76</v>
      </c>
      <c r="D263" s="42" t="s">
        <v>77</v>
      </c>
      <c r="E263" s="112" t="s">
        <v>8</v>
      </c>
      <c r="F263" s="20">
        <v>38.549999999999997</v>
      </c>
      <c r="G263" s="13">
        <v>5.28</v>
      </c>
      <c r="H263" s="13">
        <f t="shared" si="21"/>
        <v>6.4664160000000006</v>
      </c>
      <c r="I263" s="13">
        <f t="shared" si="22"/>
        <v>249.28033680000001</v>
      </c>
      <c r="J263" s="126"/>
      <c r="K263" s="127"/>
      <c r="L263" s="127"/>
      <c r="M263" s="127"/>
      <c r="N263" s="127"/>
      <c r="O263" s="127"/>
      <c r="P263" s="127"/>
    </row>
    <row r="264" spans="1:16" ht="45" x14ac:dyDescent="0.25">
      <c r="A264" s="164">
        <v>245</v>
      </c>
      <c r="B264" s="207" t="s">
        <v>132</v>
      </c>
      <c r="C264" s="12" t="s">
        <v>68</v>
      </c>
      <c r="D264" s="25" t="s">
        <v>69</v>
      </c>
      <c r="E264" s="112" t="s">
        <v>8</v>
      </c>
      <c r="F264" s="20">
        <f>24.66*3.5-F266</f>
        <v>81.03</v>
      </c>
      <c r="G264" s="13">
        <v>8.64</v>
      </c>
      <c r="H264" s="13">
        <f t="shared" si="21"/>
        <v>10.581408000000001</v>
      </c>
      <c r="I264" s="13">
        <f t="shared" si="22"/>
        <v>857.41149024000015</v>
      </c>
      <c r="J264" s="126"/>
      <c r="K264" s="127"/>
      <c r="L264" s="127"/>
      <c r="M264" s="127"/>
      <c r="N264" s="127"/>
      <c r="O264" s="127"/>
      <c r="P264" s="127"/>
    </row>
    <row r="265" spans="1:16" ht="60" x14ac:dyDescent="0.25">
      <c r="A265" s="164">
        <v>246</v>
      </c>
      <c r="B265" s="207"/>
      <c r="C265" s="12" t="s">
        <v>70</v>
      </c>
      <c r="D265" s="25" t="s">
        <v>71</v>
      </c>
      <c r="E265" s="112" t="s">
        <v>8</v>
      </c>
      <c r="F265" s="20">
        <f>F264</f>
        <v>81.03</v>
      </c>
      <c r="G265" s="13">
        <v>4.21</v>
      </c>
      <c r="H265" s="13">
        <f t="shared" si="21"/>
        <v>5.1559869999999997</v>
      </c>
      <c r="I265" s="13">
        <f t="shared" si="22"/>
        <v>417.78962660999997</v>
      </c>
      <c r="J265" s="126"/>
      <c r="K265" s="127"/>
      <c r="L265" s="127"/>
      <c r="M265" s="127"/>
      <c r="N265" s="127"/>
      <c r="O265" s="127"/>
      <c r="P265" s="127"/>
    </row>
    <row r="266" spans="1:16" ht="60" x14ac:dyDescent="0.25">
      <c r="A266" s="164">
        <v>247</v>
      </c>
      <c r="B266" s="207"/>
      <c r="C266" s="12" t="s">
        <v>72</v>
      </c>
      <c r="D266" s="163" t="s">
        <v>177</v>
      </c>
      <c r="E266" s="112" t="s">
        <v>8</v>
      </c>
      <c r="F266" s="20">
        <f>F261</f>
        <v>5.2799999999999994</v>
      </c>
      <c r="G266" s="13">
        <v>22.57</v>
      </c>
      <c r="H266" s="13">
        <f t="shared" si="21"/>
        <v>27.641479</v>
      </c>
      <c r="I266" s="13">
        <f t="shared" si="22"/>
        <v>145.94700911999999</v>
      </c>
      <c r="J266" s="126"/>
      <c r="K266" s="127"/>
      <c r="L266" s="127"/>
      <c r="M266" s="127"/>
      <c r="N266" s="127"/>
      <c r="O266" s="127"/>
      <c r="P266" s="127"/>
    </row>
    <row r="267" spans="1:16" ht="60" x14ac:dyDescent="0.25">
      <c r="A267" s="164">
        <v>248</v>
      </c>
      <c r="B267" s="207"/>
      <c r="C267" s="160" t="s">
        <v>74</v>
      </c>
      <c r="D267" s="163" t="s">
        <v>75</v>
      </c>
      <c r="E267" s="112" t="s">
        <v>8</v>
      </c>
      <c r="F267" s="20">
        <v>36.65</v>
      </c>
      <c r="G267" s="13">
        <v>14.14</v>
      </c>
      <c r="H267" s="13">
        <f t="shared" si="21"/>
        <v>17.317258000000002</v>
      </c>
      <c r="I267" s="13">
        <f t="shared" si="22"/>
        <v>634.6775057000001</v>
      </c>
      <c r="J267" s="126"/>
      <c r="K267" s="127"/>
      <c r="L267" s="127"/>
      <c r="M267" s="127"/>
      <c r="N267" s="127"/>
      <c r="O267" s="127"/>
      <c r="P267" s="127"/>
    </row>
    <row r="268" spans="1:16" ht="60" x14ac:dyDescent="0.25">
      <c r="A268" s="164">
        <v>249</v>
      </c>
      <c r="B268" s="207"/>
      <c r="C268" s="113" t="s">
        <v>76</v>
      </c>
      <c r="D268" s="42" t="s">
        <v>77</v>
      </c>
      <c r="E268" s="112" t="s">
        <v>8</v>
      </c>
      <c r="F268" s="20">
        <v>36.65</v>
      </c>
      <c r="G268" s="13">
        <v>5.28</v>
      </c>
      <c r="H268" s="13">
        <f t="shared" si="21"/>
        <v>6.4664160000000006</v>
      </c>
      <c r="I268" s="13">
        <f t="shared" si="22"/>
        <v>236.99414640000001</v>
      </c>
      <c r="J268" s="126"/>
      <c r="K268" s="127"/>
      <c r="L268" s="127"/>
      <c r="M268" s="127"/>
      <c r="N268" s="127"/>
      <c r="O268" s="127"/>
      <c r="P268" s="127"/>
    </row>
    <row r="269" spans="1:16" ht="45" x14ac:dyDescent="0.25">
      <c r="A269" s="164">
        <v>250</v>
      </c>
      <c r="B269" s="207" t="s">
        <v>125</v>
      </c>
      <c r="C269" s="12" t="s">
        <v>68</v>
      </c>
      <c r="D269" s="25" t="s">
        <v>69</v>
      </c>
      <c r="E269" s="112" t="s">
        <v>8</v>
      </c>
      <c r="F269" s="20">
        <f>41.74*3.85+153.39*4.3+103.97*4.3-(F266+F261+F256+F251+F246+F241+F236+F233+F230+F227+F224+F221+F216+F211+F208+F205+F200+F197+F192+F187+F182+F177+F172+F167+F162)</f>
        <v>1106.2219999999998</v>
      </c>
      <c r="G269" s="13">
        <v>8.64</v>
      </c>
      <c r="H269" s="13">
        <f t="shared" si="21"/>
        <v>10.581408000000001</v>
      </c>
      <c r="I269" s="13">
        <f t="shared" si="22"/>
        <v>11705.386320575999</v>
      </c>
      <c r="J269" s="126"/>
      <c r="K269" s="127"/>
      <c r="L269" s="127"/>
      <c r="M269" s="127"/>
      <c r="N269" s="127"/>
      <c r="O269" s="127"/>
      <c r="P269" s="127"/>
    </row>
    <row r="270" spans="1:16" ht="60" x14ac:dyDescent="0.25">
      <c r="A270" s="164">
        <v>251</v>
      </c>
      <c r="B270" s="207"/>
      <c r="C270" s="12" t="s">
        <v>70</v>
      </c>
      <c r="D270" s="25" t="s">
        <v>71</v>
      </c>
      <c r="E270" s="112" t="s">
        <v>8</v>
      </c>
      <c r="F270" s="20">
        <f>F269</f>
        <v>1106.2219999999998</v>
      </c>
      <c r="G270" s="13">
        <v>4.21</v>
      </c>
      <c r="H270" s="13">
        <f t="shared" si="21"/>
        <v>5.1559869999999997</v>
      </c>
      <c r="I270" s="13">
        <f t="shared" si="22"/>
        <v>5703.6662511139984</v>
      </c>
      <c r="J270" s="126"/>
      <c r="K270" s="127"/>
      <c r="L270" s="127"/>
      <c r="M270" s="127"/>
      <c r="N270" s="127"/>
      <c r="O270" s="127"/>
      <c r="P270" s="127"/>
    </row>
    <row r="271" spans="1:16" ht="45" x14ac:dyDescent="0.25">
      <c r="A271" s="164">
        <v>252</v>
      </c>
      <c r="B271" s="207" t="s">
        <v>124</v>
      </c>
      <c r="C271" s="12" t="s">
        <v>68</v>
      </c>
      <c r="D271" s="25" t="s">
        <v>69</v>
      </c>
      <c r="E271" s="112" t="s">
        <v>8</v>
      </c>
      <c r="F271" s="20">
        <f>(36.78+50.69+59.25+(15+47.32)*2)*2.2</f>
        <v>596.99200000000008</v>
      </c>
      <c r="G271" s="13">
        <v>8.64</v>
      </c>
      <c r="H271" s="13">
        <f t="shared" si="21"/>
        <v>10.581408000000001</v>
      </c>
      <c r="I271" s="13">
        <f t="shared" si="22"/>
        <v>6317.0159247360016</v>
      </c>
      <c r="J271" s="126"/>
      <c r="K271" s="127"/>
      <c r="L271" s="127"/>
      <c r="M271" s="127"/>
      <c r="N271" s="127"/>
      <c r="O271" s="127"/>
      <c r="P271" s="127"/>
    </row>
    <row r="272" spans="1:16" ht="60" x14ac:dyDescent="0.25">
      <c r="A272" s="164">
        <v>253</v>
      </c>
      <c r="B272" s="207"/>
      <c r="C272" s="12" t="s">
        <v>70</v>
      </c>
      <c r="D272" s="25" t="s">
        <v>71</v>
      </c>
      <c r="E272" s="112" t="s">
        <v>8</v>
      </c>
      <c r="F272" s="20">
        <f>F271</f>
        <v>596.99200000000008</v>
      </c>
      <c r="G272" s="13">
        <v>4.21</v>
      </c>
      <c r="H272" s="13">
        <f t="shared" si="21"/>
        <v>5.1559869999999997</v>
      </c>
      <c r="I272" s="13">
        <f t="shared" si="22"/>
        <v>3078.082991104</v>
      </c>
      <c r="J272" s="126"/>
      <c r="K272" s="127"/>
      <c r="L272" s="127"/>
      <c r="M272" s="127"/>
      <c r="N272" s="127"/>
      <c r="O272" s="127"/>
      <c r="P272" s="127"/>
    </row>
    <row r="273" spans="1:16" ht="75" x14ac:dyDescent="0.25">
      <c r="A273" s="164">
        <v>254</v>
      </c>
      <c r="B273" s="207"/>
      <c r="C273" s="12" t="s">
        <v>72</v>
      </c>
      <c r="D273" s="163" t="s">
        <v>73</v>
      </c>
      <c r="E273" s="112" t="s">
        <v>8</v>
      </c>
      <c r="F273" s="20">
        <f>4.05*2.2+4.05*1.6+3.9*2.2</f>
        <v>23.97</v>
      </c>
      <c r="G273" s="13">
        <v>22.57</v>
      </c>
      <c r="H273" s="13">
        <f t="shared" si="21"/>
        <v>27.641479</v>
      </c>
      <c r="I273" s="13">
        <f t="shared" si="22"/>
        <v>662.56625163000001</v>
      </c>
      <c r="J273" s="126"/>
      <c r="K273" s="127"/>
      <c r="L273" s="127"/>
      <c r="M273" s="127"/>
      <c r="N273" s="127"/>
      <c r="O273" s="127"/>
      <c r="P273" s="127"/>
    </row>
    <row r="274" spans="1:16" ht="40.5" customHeight="1" x14ac:dyDescent="0.25">
      <c r="A274" s="164">
        <v>255</v>
      </c>
      <c r="B274" s="208" t="s">
        <v>113</v>
      </c>
      <c r="C274" s="208"/>
      <c r="D274" s="208"/>
      <c r="E274" s="208"/>
      <c r="F274" s="208"/>
      <c r="G274" s="208"/>
      <c r="H274" s="208"/>
      <c r="I274" s="30">
        <f>SUM(I275:I329)</f>
        <v>28951.202756505001</v>
      </c>
      <c r="J274" s="233"/>
      <c r="K274" s="234"/>
      <c r="L274" s="234"/>
      <c r="M274" s="234"/>
      <c r="N274" s="234"/>
      <c r="O274" s="234"/>
      <c r="P274" s="235"/>
    </row>
    <row r="275" spans="1:16" ht="30" x14ac:dyDescent="0.25">
      <c r="A275" s="164">
        <v>256</v>
      </c>
      <c r="B275" s="112"/>
      <c r="C275" s="150" t="s">
        <v>155</v>
      </c>
      <c r="D275" s="151" t="s">
        <v>154</v>
      </c>
      <c r="E275" s="112" t="s">
        <v>8</v>
      </c>
      <c r="F275" s="112">
        <v>2.88</v>
      </c>
      <c r="G275" s="112">
        <v>312.06</v>
      </c>
      <c r="H275" s="13">
        <f t="shared" ref="H275:H329" si="23">G275+G275*B$18</f>
        <v>382.17988200000002</v>
      </c>
      <c r="I275" s="13">
        <f t="shared" ref="I275:I329" si="24">H275*F275</f>
        <v>1100.6780601600001</v>
      </c>
      <c r="J275" s="126"/>
      <c r="K275" s="127"/>
      <c r="L275" s="127"/>
      <c r="M275" s="127"/>
      <c r="N275" s="127"/>
      <c r="O275" s="127"/>
      <c r="P275" s="127"/>
    </row>
    <row r="276" spans="1:16" ht="75" x14ac:dyDescent="0.25">
      <c r="A276" s="164">
        <v>257</v>
      </c>
      <c r="B276" s="209" t="s">
        <v>104</v>
      </c>
      <c r="C276" s="112" t="s">
        <v>150</v>
      </c>
      <c r="D276" s="163" t="s">
        <v>147</v>
      </c>
      <c r="E276" s="112" t="s">
        <v>146</v>
      </c>
      <c r="F276" s="112">
        <v>6</v>
      </c>
      <c r="G276" s="112">
        <v>12</v>
      </c>
      <c r="H276" s="13">
        <f t="shared" si="23"/>
        <v>14.696400000000001</v>
      </c>
      <c r="I276" s="13">
        <f t="shared" si="24"/>
        <v>88.178400000000011</v>
      </c>
      <c r="J276" s="126"/>
      <c r="K276" s="127"/>
      <c r="L276" s="127"/>
      <c r="M276" s="127"/>
      <c r="N276" s="127"/>
      <c r="O276" s="127"/>
      <c r="P276" s="127"/>
    </row>
    <row r="277" spans="1:16" ht="45" x14ac:dyDescent="0.25">
      <c r="A277" s="164">
        <v>258</v>
      </c>
      <c r="B277" s="209"/>
      <c r="C277" s="112" t="s">
        <v>149</v>
      </c>
      <c r="D277" s="163" t="s">
        <v>148</v>
      </c>
      <c r="E277" s="112" t="s">
        <v>19</v>
      </c>
      <c r="F277" s="112">
        <v>6</v>
      </c>
      <c r="G277" s="112">
        <v>6.52</v>
      </c>
      <c r="H277" s="13">
        <f t="shared" si="23"/>
        <v>7.9850439999999994</v>
      </c>
      <c r="I277" s="13">
        <f t="shared" si="24"/>
        <v>47.910263999999998</v>
      </c>
      <c r="J277" s="126"/>
      <c r="K277" s="127"/>
      <c r="L277" s="127"/>
      <c r="M277" s="127"/>
      <c r="N277" s="127"/>
      <c r="O277" s="127"/>
      <c r="P277" s="127"/>
    </row>
    <row r="278" spans="1:16" ht="45" x14ac:dyDescent="0.25">
      <c r="A278" s="164">
        <v>259</v>
      </c>
      <c r="B278" s="207" t="s">
        <v>114</v>
      </c>
      <c r="C278" s="12" t="s">
        <v>68</v>
      </c>
      <c r="D278" s="25" t="s">
        <v>69</v>
      </c>
      <c r="E278" s="112" t="s">
        <v>8</v>
      </c>
      <c r="F278" s="20">
        <f>28.6*2.8-F280</f>
        <v>67.989999999999995</v>
      </c>
      <c r="G278" s="13">
        <v>8.64</v>
      </c>
      <c r="H278" s="13">
        <f t="shared" si="23"/>
        <v>10.581408000000001</v>
      </c>
      <c r="I278" s="13">
        <f t="shared" si="24"/>
        <v>719.42992992000006</v>
      </c>
      <c r="J278" s="126"/>
      <c r="K278" s="127"/>
      <c r="L278" s="127"/>
      <c r="M278" s="127"/>
      <c r="N278" s="127"/>
      <c r="O278" s="127"/>
      <c r="P278" s="127"/>
    </row>
    <row r="279" spans="1:16" ht="60" x14ac:dyDescent="0.25">
      <c r="A279" s="164">
        <v>260</v>
      </c>
      <c r="B279" s="207"/>
      <c r="C279" s="12" t="s">
        <v>70</v>
      </c>
      <c r="D279" s="25" t="s">
        <v>71</v>
      </c>
      <c r="E279" s="112" t="s">
        <v>8</v>
      </c>
      <c r="F279" s="20">
        <f>F278</f>
        <v>67.989999999999995</v>
      </c>
      <c r="G279" s="13">
        <v>4.21</v>
      </c>
      <c r="H279" s="13">
        <f t="shared" si="23"/>
        <v>5.1559869999999997</v>
      </c>
      <c r="I279" s="13">
        <f t="shared" si="24"/>
        <v>350.55555612999996</v>
      </c>
      <c r="J279" s="126"/>
      <c r="K279" s="127"/>
      <c r="L279" s="127"/>
      <c r="M279" s="127"/>
      <c r="N279" s="127"/>
      <c r="O279" s="127"/>
      <c r="P279" s="127"/>
    </row>
    <row r="280" spans="1:16" ht="75" x14ac:dyDescent="0.25">
      <c r="A280" s="164">
        <v>261</v>
      </c>
      <c r="B280" s="207"/>
      <c r="C280" s="12" t="s">
        <v>72</v>
      </c>
      <c r="D280" s="163" t="s">
        <v>73</v>
      </c>
      <c r="E280" s="112" t="s">
        <v>8</v>
      </c>
      <c r="F280" s="20">
        <f>4*1.05*1.55+2*1.5*1.3+0.8*2.1</f>
        <v>12.09</v>
      </c>
      <c r="G280" s="13">
        <v>22.57</v>
      </c>
      <c r="H280" s="13">
        <f t="shared" si="23"/>
        <v>27.641479</v>
      </c>
      <c r="I280" s="13">
        <f t="shared" si="24"/>
        <v>334.18548111000001</v>
      </c>
      <c r="J280" s="126"/>
      <c r="K280" s="127"/>
      <c r="L280" s="127"/>
      <c r="M280" s="127"/>
      <c r="N280" s="127"/>
      <c r="O280" s="127"/>
      <c r="P280" s="127"/>
    </row>
    <row r="281" spans="1:16" ht="60" x14ac:dyDescent="0.25">
      <c r="A281" s="164">
        <v>262</v>
      </c>
      <c r="B281" s="207"/>
      <c r="C281" s="160" t="s">
        <v>74</v>
      </c>
      <c r="D281" s="163" t="s">
        <v>75</v>
      </c>
      <c r="E281" s="112" t="s">
        <v>8</v>
      </c>
      <c r="F281" s="20">
        <v>50.22</v>
      </c>
      <c r="G281" s="13">
        <v>14.14</v>
      </c>
      <c r="H281" s="13">
        <f t="shared" si="23"/>
        <v>17.317258000000002</v>
      </c>
      <c r="I281" s="13">
        <f t="shared" si="24"/>
        <v>869.67269676000012</v>
      </c>
      <c r="J281" s="126"/>
      <c r="K281" s="127"/>
      <c r="L281" s="127"/>
      <c r="M281" s="127"/>
      <c r="N281" s="127"/>
      <c r="O281" s="127"/>
      <c r="P281" s="127"/>
    </row>
    <row r="282" spans="1:16" ht="60" x14ac:dyDescent="0.25">
      <c r="A282" s="164">
        <v>263</v>
      </c>
      <c r="B282" s="207"/>
      <c r="C282" s="113" t="s">
        <v>76</v>
      </c>
      <c r="D282" s="42" t="s">
        <v>77</v>
      </c>
      <c r="E282" s="112" t="s">
        <v>8</v>
      </c>
      <c r="F282" s="20">
        <v>50.22</v>
      </c>
      <c r="G282" s="13">
        <v>5.28</v>
      </c>
      <c r="H282" s="13">
        <f t="shared" si="23"/>
        <v>6.4664160000000006</v>
      </c>
      <c r="I282" s="13">
        <f t="shared" si="24"/>
        <v>324.74341152</v>
      </c>
      <c r="J282" s="126"/>
      <c r="K282" s="127"/>
      <c r="L282" s="127"/>
      <c r="M282" s="127"/>
      <c r="N282" s="127"/>
      <c r="O282" s="127"/>
      <c r="P282" s="127"/>
    </row>
    <row r="283" spans="1:16" ht="45" x14ac:dyDescent="0.25">
      <c r="A283" s="164">
        <v>264</v>
      </c>
      <c r="B283" s="207" t="s">
        <v>115</v>
      </c>
      <c r="C283" s="12" t="s">
        <v>68</v>
      </c>
      <c r="D283" s="25" t="s">
        <v>69</v>
      </c>
      <c r="E283" s="112" t="s">
        <v>8</v>
      </c>
      <c r="F283" s="20">
        <f>22.45*2.8-F285</f>
        <v>57.304999999999993</v>
      </c>
      <c r="G283" s="13">
        <v>8.64</v>
      </c>
      <c r="H283" s="13">
        <f t="shared" si="23"/>
        <v>10.581408000000001</v>
      </c>
      <c r="I283" s="13">
        <f t="shared" si="24"/>
        <v>606.36758543999997</v>
      </c>
      <c r="J283" s="126"/>
      <c r="K283" s="127"/>
      <c r="L283" s="127"/>
      <c r="M283" s="127"/>
      <c r="N283" s="127"/>
      <c r="O283" s="127"/>
      <c r="P283" s="127"/>
    </row>
    <row r="284" spans="1:16" ht="60" x14ac:dyDescent="0.25">
      <c r="A284" s="164">
        <v>265</v>
      </c>
      <c r="B284" s="207"/>
      <c r="C284" s="12" t="s">
        <v>70</v>
      </c>
      <c r="D284" s="25" t="s">
        <v>71</v>
      </c>
      <c r="E284" s="112" t="s">
        <v>8</v>
      </c>
      <c r="F284" s="20">
        <f>F283</f>
        <v>57.304999999999993</v>
      </c>
      <c r="G284" s="13">
        <v>4.21</v>
      </c>
      <c r="H284" s="13">
        <f t="shared" si="23"/>
        <v>5.1559869999999997</v>
      </c>
      <c r="I284" s="13">
        <f t="shared" si="24"/>
        <v>295.46383503499993</v>
      </c>
      <c r="J284" s="126"/>
      <c r="K284" s="127"/>
      <c r="L284" s="127"/>
      <c r="M284" s="127"/>
      <c r="N284" s="127"/>
      <c r="O284" s="127"/>
      <c r="P284" s="127"/>
    </row>
    <row r="285" spans="1:16" ht="75" x14ac:dyDescent="0.25">
      <c r="A285" s="164">
        <v>266</v>
      </c>
      <c r="B285" s="207"/>
      <c r="C285" s="12" t="s">
        <v>72</v>
      </c>
      <c r="D285" s="163" t="s">
        <v>73</v>
      </c>
      <c r="E285" s="112" t="s">
        <v>8</v>
      </c>
      <c r="F285" s="20">
        <f>2*1.25*1.55+0.8*2.1</f>
        <v>5.5549999999999997</v>
      </c>
      <c r="G285" s="13">
        <v>22.57</v>
      </c>
      <c r="H285" s="13">
        <f t="shared" si="23"/>
        <v>27.641479</v>
      </c>
      <c r="I285" s="13">
        <f t="shared" si="24"/>
        <v>153.54841584499999</v>
      </c>
      <c r="J285" s="126"/>
      <c r="K285" s="127"/>
      <c r="L285" s="127"/>
      <c r="M285" s="127"/>
      <c r="N285" s="127"/>
      <c r="O285" s="127"/>
      <c r="P285" s="127"/>
    </row>
    <row r="286" spans="1:16" ht="60" x14ac:dyDescent="0.25">
      <c r="A286" s="164">
        <v>267</v>
      </c>
      <c r="B286" s="207"/>
      <c r="C286" s="160" t="s">
        <v>74</v>
      </c>
      <c r="D286" s="163" t="s">
        <v>75</v>
      </c>
      <c r="E286" s="112" t="s">
        <v>8</v>
      </c>
      <c r="F286" s="20">
        <v>24.8</v>
      </c>
      <c r="G286" s="13">
        <v>14.14</v>
      </c>
      <c r="H286" s="13">
        <f t="shared" si="23"/>
        <v>17.317258000000002</v>
      </c>
      <c r="I286" s="13">
        <f t="shared" si="24"/>
        <v>429.46799840000006</v>
      </c>
      <c r="J286" s="126"/>
      <c r="K286" s="127"/>
      <c r="L286" s="127"/>
      <c r="M286" s="127"/>
      <c r="N286" s="127"/>
      <c r="O286" s="127"/>
      <c r="P286" s="127"/>
    </row>
    <row r="287" spans="1:16" ht="60" x14ac:dyDescent="0.25">
      <c r="A287" s="164">
        <v>268</v>
      </c>
      <c r="B287" s="207"/>
      <c r="C287" s="113" t="s">
        <v>76</v>
      </c>
      <c r="D287" s="42" t="s">
        <v>77</v>
      </c>
      <c r="E287" s="112" t="s">
        <v>8</v>
      </c>
      <c r="F287" s="20">
        <v>24.8</v>
      </c>
      <c r="G287" s="13">
        <v>5.28</v>
      </c>
      <c r="H287" s="13">
        <f t="shared" si="23"/>
        <v>6.4664160000000006</v>
      </c>
      <c r="I287" s="13">
        <f t="shared" si="24"/>
        <v>160.36711680000002</v>
      </c>
      <c r="J287" s="126"/>
      <c r="K287" s="127"/>
      <c r="L287" s="127"/>
      <c r="M287" s="127"/>
      <c r="N287" s="127"/>
      <c r="O287" s="127"/>
      <c r="P287" s="127"/>
    </row>
    <row r="288" spans="1:16" ht="45" x14ac:dyDescent="0.25">
      <c r="A288" s="164">
        <v>269</v>
      </c>
      <c r="B288" s="207" t="s">
        <v>103</v>
      </c>
      <c r="C288" s="12" t="s">
        <v>68</v>
      </c>
      <c r="D288" s="25" t="s">
        <v>69</v>
      </c>
      <c r="E288" s="112" t="s">
        <v>8</v>
      </c>
      <c r="F288" s="20">
        <f>22.45*2.8-F290</f>
        <v>58.85499999999999</v>
      </c>
      <c r="G288" s="13">
        <v>8.64</v>
      </c>
      <c r="H288" s="13">
        <f t="shared" si="23"/>
        <v>10.581408000000001</v>
      </c>
      <c r="I288" s="13">
        <f t="shared" si="24"/>
        <v>622.76876784000001</v>
      </c>
      <c r="J288" s="126"/>
      <c r="K288" s="127"/>
      <c r="L288" s="127"/>
      <c r="M288" s="127"/>
      <c r="N288" s="127"/>
      <c r="O288" s="127"/>
      <c r="P288" s="127"/>
    </row>
    <row r="289" spans="1:16" ht="60" x14ac:dyDescent="0.25">
      <c r="A289" s="164">
        <v>270</v>
      </c>
      <c r="B289" s="207"/>
      <c r="C289" s="12" t="s">
        <v>70</v>
      </c>
      <c r="D289" s="25" t="s">
        <v>71</v>
      </c>
      <c r="E289" s="112" t="s">
        <v>8</v>
      </c>
      <c r="F289" s="20">
        <f>F288</f>
        <v>58.85499999999999</v>
      </c>
      <c r="G289" s="13">
        <v>4.21</v>
      </c>
      <c r="H289" s="13">
        <f t="shared" si="23"/>
        <v>5.1559869999999997</v>
      </c>
      <c r="I289" s="13">
        <f t="shared" si="24"/>
        <v>303.45561488499993</v>
      </c>
      <c r="J289" s="126"/>
      <c r="K289" s="127"/>
      <c r="L289" s="127"/>
      <c r="M289" s="127"/>
      <c r="N289" s="127"/>
      <c r="O289" s="127"/>
      <c r="P289" s="127"/>
    </row>
    <row r="290" spans="1:16" ht="75" x14ac:dyDescent="0.25">
      <c r="A290" s="164">
        <v>271</v>
      </c>
      <c r="B290" s="207"/>
      <c r="C290" s="12" t="s">
        <v>72</v>
      </c>
      <c r="D290" s="163" t="s">
        <v>73</v>
      </c>
      <c r="E290" s="112" t="s">
        <v>8</v>
      </c>
      <c r="F290" s="20">
        <f>1.5*1.55+0.8*2.1</f>
        <v>4.0050000000000008</v>
      </c>
      <c r="G290" s="13">
        <v>22.57</v>
      </c>
      <c r="H290" s="13">
        <f t="shared" si="23"/>
        <v>27.641479</v>
      </c>
      <c r="I290" s="13">
        <f t="shared" si="24"/>
        <v>110.70412339500002</v>
      </c>
      <c r="J290" s="126"/>
      <c r="K290" s="127"/>
      <c r="L290" s="127"/>
      <c r="M290" s="127"/>
      <c r="N290" s="127"/>
      <c r="O290" s="127"/>
      <c r="P290" s="127"/>
    </row>
    <row r="291" spans="1:16" ht="60" x14ac:dyDescent="0.25">
      <c r="A291" s="164">
        <v>272</v>
      </c>
      <c r="B291" s="207"/>
      <c r="C291" s="160" t="s">
        <v>74</v>
      </c>
      <c r="D291" s="163" t="s">
        <v>75</v>
      </c>
      <c r="E291" s="112" t="s">
        <v>8</v>
      </c>
      <c r="F291" s="20">
        <v>24.8</v>
      </c>
      <c r="G291" s="13">
        <v>14.14</v>
      </c>
      <c r="H291" s="13">
        <f t="shared" si="23"/>
        <v>17.317258000000002</v>
      </c>
      <c r="I291" s="13">
        <f t="shared" si="24"/>
        <v>429.46799840000006</v>
      </c>
      <c r="J291" s="126"/>
      <c r="K291" s="127"/>
      <c r="L291" s="127"/>
      <c r="M291" s="127"/>
      <c r="N291" s="127"/>
      <c r="O291" s="127"/>
      <c r="P291" s="127"/>
    </row>
    <row r="292" spans="1:16" ht="60" x14ac:dyDescent="0.25">
      <c r="A292" s="164">
        <v>273</v>
      </c>
      <c r="B292" s="207"/>
      <c r="C292" s="113" t="s">
        <v>76</v>
      </c>
      <c r="D292" s="42" t="s">
        <v>77</v>
      </c>
      <c r="E292" s="112" t="s">
        <v>8</v>
      </c>
      <c r="F292" s="20">
        <v>24.8</v>
      </c>
      <c r="G292" s="13">
        <v>5.28</v>
      </c>
      <c r="H292" s="13">
        <f t="shared" si="23"/>
        <v>6.4664160000000006</v>
      </c>
      <c r="I292" s="13">
        <f t="shared" si="24"/>
        <v>160.36711680000002</v>
      </c>
      <c r="J292" s="126"/>
      <c r="K292" s="127"/>
      <c r="L292" s="127"/>
      <c r="M292" s="127"/>
      <c r="N292" s="127"/>
      <c r="O292" s="127"/>
      <c r="P292" s="127"/>
    </row>
    <row r="293" spans="1:16" ht="45" x14ac:dyDescent="0.25">
      <c r="A293" s="164">
        <v>274</v>
      </c>
      <c r="B293" s="207" t="s">
        <v>116</v>
      </c>
      <c r="C293" s="12" t="s">
        <v>68</v>
      </c>
      <c r="D293" s="25" t="s">
        <v>69</v>
      </c>
      <c r="E293" s="112" t="s">
        <v>8</v>
      </c>
      <c r="F293" s="20">
        <f>28.15*2.8-F295</f>
        <v>67.059999999999988</v>
      </c>
      <c r="G293" s="13">
        <v>8.64</v>
      </c>
      <c r="H293" s="13">
        <f t="shared" si="23"/>
        <v>10.581408000000001</v>
      </c>
      <c r="I293" s="13">
        <f t="shared" si="24"/>
        <v>709.58922047999999</v>
      </c>
      <c r="J293" s="126"/>
      <c r="K293" s="127"/>
      <c r="L293" s="127"/>
      <c r="M293" s="127"/>
      <c r="N293" s="127"/>
      <c r="O293" s="127"/>
      <c r="P293" s="127"/>
    </row>
    <row r="294" spans="1:16" ht="60" x14ac:dyDescent="0.25">
      <c r="A294" s="164">
        <v>275</v>
      </c>
      <c r="B294" s="207"/>
      <c r="C294" s="12" t="s">
        <v>70</v>
      </c>
      <c r="D294" s="25" t="s">
        <v>71</v>
      </c>
      <c r="E294" s="112" t="s">
        <v>8</v>
      </c>
      <c r="F294" s="20">
        <f>F293</f>
        <v>67.059999999999988</v>
      </c>
      <c r="G294" s="13">
        <v>4.21</v>
      </c>
      <c r="H294" s="13">
        <f t="shared" si="23"/>
        <v>5.1559869999999997</v>
      </c>
      <c r="I294" s="13">
        <f t="shared" si="24"/>
        <v>345.7604882199999</v>
      </c>
      <c r="J294" s="126"/>
      <c r="K294" s="127"/>
      <c r="L294" s="127"/>
      <c r="M294" s="127"/>
      <c r="N294" s="127"/>
      <c r="O294" s="127"/>
      <c r="P294" s="127"/>
    </row>
    <row r="295" spans="1:16" ht="75" x14ac:dyDescent="0.25">
      <c r="A295" s="164">
        <v>276</v>
      </c>
      <c r="B295" s="207"/>
      <c r="C295" s="12" t="s">
        <v>72</v>
      </c>
      <c r="D295" s="163" t="s">
        <v>73</v>
      </c>
      <c r="E295" s="112" t="s">
        <v>8</v>
      </c>
      <c r="F295" s="20">
        <f>2*1.8*2.8+0.8*2.1</f>
        <v>11.76</v>
      </c>
      <c r="G295" s="13">
        <v>22.57</v>
      </c>
      <c r="H295" s="13">
        <f t="shared" si="23"/>
        <v>27.641479</v>
      </c>
      <c r="I295" s="13">
        <f t="shared" si="24"/>
        <v>325.06379304000001</v>
      </c>
      <c r="J295" s="126"/>
      <c r="K295" s="127"/>
      <c r="L295" s="127"/>
      <c r="M295" s="127"/>
      <c r="N295" s="127"/>
      <c r="O295" s="127"/>
      <c r="P295" s="127"/>
    </row>
    <row r="296" spans="1:16" ht="60" x14ac:dyDescent="0.25">
      <c r="A296" s="164">
        <v>277</v>
      </c>
      <c r="B296" s="207"/>
      <c r="C296" s="160" t="s">
        <v>74</v>
      </c>
      <c r="D296" s="163" t="s">
        <v>75</v>
      </c>
      <c r="E296" s="112" t="s">
        <v>8</v>
      </c>
      <c r="F296" s="20">
        <f>49.52</f>
        <v>49.52</v>
      </c>
      <c r="G296" s="13">
        <v>14.14</v>
      </c>
      <c r="H296" s="13">
        <f t="shared" si="23"/>
        <v>17.317258000000002</v>
      </c>
      <c r="I296" s="13">
        <f t="shared" si="24"/>
        <v>857.55061616000023</v>
      </c>
      <c r="J296" s="126"/>
      <c r="K296" s="127"/>
      <c r="L296" s="127"/>
      <c r="M296" s="127"/>
      <c r="N296" s="127"/>
      <c r="O296" s="127"/>
      <c r="P296" s="127"/>
    </row>
    <row r="297" spans="1:16" ht="60" x14ac:dyDescent="0.25">
      <c r="A297" s="164">
        <v>278</v>
      </c>
      <c r="B297" s="207"/>
      <c r="C297" s="113" t="s">
        <v>76</v>
      </c>
      <c r="D297" s="42" t="s">
        <v>77</v>
      </c>
      <c r="E297" s="112" t="s">
        <v>8</v>
      </c>
      <c r="F297" s="20">
        <v>49.52</v>
      </c>
      <c r="G297" s="13">
        <v>5.28</v>
      </c>
      <c r="H297" s="13">
        <f t="shared" si="23"/>
        <v>6.4664160000000006</v>
      </c>
      <c r="I297" s="13">
        <f t="shared" si="24"/>
        <v>320.21692032000004</v>
      </c>
      <c r="J297" s="126"/>
      <c r="K297" s="127"/>
      <c r="L297" s="127"/>
      <c r="M297" s="127"/>
      <c r="N297" s="127"/>
      <c r="O297" s="127"/>
      <c r="P297" s="127"/>
    </row>
    <row r="298" spans="1:16" ht="45" x14ac:dyDescent="0.25">
      <c r="A298" s="164">
        <v>279</v>
      </c>
      <c r="B298" s="207" t="s">
        <v>117</v>
      </c>
      <c r="C298" s="12" t="s">
        <v>68</v>
      </c>
      <c r="D298" s="25" t="s">
        <v>69</v>
      </c>
      <c r="E298" s="112" t="s">
        <v>8</v>
      </c>
      <c r="F298" s="20">
        <f>28.15*2.8-F300</f>
        <v>67.059999999999988</v>
      </c>
      <c r="G298" s="13">
        <v>8.64</v>
      </c>
      <c r="H298" s="13">
        <f t="shared" si="23"/>
        <v>10.581408000000001</v>
      </c>
      <c r="I298" s="13">
        <f t="shared" si="24"/>
        <v>709.58922047999999</v>
      </c>
      <c r="J298" s="126"/>
      <c r="K298" s="127"/>
      <c r="L298" s="127"/>
      <c r="M298" s="127"/>
      <c r="N298" s="127"/>
      <c r="O298" s="127"/>
      <c r="P298" s="127"/>
    </row>
    <row r="299" spans="1:16" ht="60" x14ac:dyDescent="0.25">
      <c r="A299" s="164">
        <v>280</v>
      </c>
      <c r="B299" s="207"/>
      <c r="C299" s="12" t="s">
        <v>70</v>
      </c>
      <c r="D299" s="25" t="s">
        <v>71</v>
      </c>
      <c r="E299" s="112" t="s">
        <v>8</v>
      </c>
      <c r="F299" s="20">
        <f>F298</f>
        <v>67.059999999999988</v>
      </c>
      <c r="G299" s="13">
        <v>4.21</v>
      </c>
      <c r="H299" s="13">
        <f t="shared" si="23"/>
        <v>5.1559869999999997</v>
      </c>
      <c r="I299" s="13">
        <f t="shared" si="24"/>
        <v>345.7604882199999</v>
      </c>
      <c r="J299" s="126"/>
      <c r="K299" s="127"/>
      <c r="L299" s="127"/>
      <c r="M299" s="127"/>
      <c r="N299" s="127"/>
      <c r="O299" s="127"/>
      <c r="P299" s="127"/>
    </row>
    <row r="300" spans="1:16" ht="75" x14ac:dyDescent="0.25">
      <c r="A300" s="164">
        <v>281</v>
      </c>
      <c r="B300" s="207"/>
      <c r="C300" s="12" t="s">
        <v>72</v>
      </c>
      <c r="D300" s="163" t="s">
        <v>73</v>
      </c>
      <c r="E300" s="112" t="s">
        <v>8</v>
      </c>
      <c r="F300" s="20">
        <f>2*1.8*2.8+0.8*2.1</f>
        <v>11.76</v>
      </c>
      <c r="G300" s="13">
        <v>22.57</v>
      </c>
      <c r="H300" s="13">
        <f t="shared" si="23"/>
        <v>27.641479</v>
      </c>
      <c r="I300" s="13">
        <f t="shared" si="24"/>
        <v>325.06379304000001</v>
      </c>
      <c r="J300" s="126"/>
      <c r="K300" s="127"/>
      <c r="L300" s="127"/>
      <c r="M300" s="127"/>
      <c r="N300" s="127"/>
      <c r="O300" s="127"/>
      <c r="P300" s="127"/>
    </row>
    <row r="301" spans="1:16" ht="60" x14ac:dyDescent="0.25">
      <c r="A301" s="164">
        <v>282</v>
      </c>
      <c r="B301" s="207"/>
      <c r="C301" s="160" t="s">
        <v>74</v>
      </c>
      <c r="D301" s="163" t="s">
        <v>75</v>
      </c>
      <c r="E301" s="112" t="s">
        <v>8</v>
      </c>
      <c r="F301" s="20">
        <f>49.52</f>
        <v>49.52</v>
      </c>
      <c r="G301" s="13">
        <v>14.14</v>
      </c>
      <c r="H301" s="13">
        <f t="shared" si="23"/>
        <v>17.317258000000002</v>
      </c>
      <c r="I301" s="13">
        <f t="shared" si="24"/>
        <v>857.55061616000023</v>
      </c>
      <c r="J301" s="126"/>
      <c r="K301" s="127"/>
      <c r="L301" s="127"/>
      <c r="M301" s="127"/>
      <c r="N301" s="127"/>
      <c r="O301" s="127"/>
      <c r="P301" s="127"/>
    </row>
    <row r="302" spans="1:16" ht="60" x14ac:dyDescent="0.25">
      <c r="A302" s="164">
        <v>283</v>
      </c>
      <c r="B302" s="207"/>
      <c r="C302" s="113" t="s">
        <v>76</v>
      </c>
      <c r="D302" s="42" t="s">
        <v>77</v>
      </c>
      <c r="E302" s="112" t="s">
        <v>8</v>
      </c>
      <c r="F302" s="20">
        <v>49.52</v>
      </c>
      <c r="G302" s="13">
        <v>5.28</v>
      </c>
      <c r="H302" s="13">
        <f t="shared" si="23"/>
        <v>6.4664160000000006</v>
      </c>
      <c r="I302" s="13">
        <f t="shared" si="24"/>
        <v>320.21692032000004</v>
      </c>
      <c r="J302" s="126"/>
      <c r="K302" s="127"/>
      <c r="L302" s="127"/>
      <c r="M302" s="127"/>
      <c r="N302" s="127"/>
      <c r="O302" s="127"/>
      <c r="P302" s="127"/>
    </row>
    <row r="303" spans="1:16" ht="45" x14ac:dyDescent="0.25">
      <c r="A303" s="164">
        <v>284</v>
      </c>
      <c r="B303" s="207" t="s">
        <v>118</v>
      </c>
      <c r="C303" s="12" t="s">
        <v>68</v>
      </c>
      <c r="D303" s="25" t="s">
        <v>69</v>
      </c>
      <c r="E303" s="112" t="s">
        <v>8</v>
      </c>
      <c r="F303" s="20">
        <f>15.2*2.8-F305</f>
        <v>36.399999999999991</v>
      </c>
      <c r="G303" s="13">
        <v>8.64</v>
      </c>
      <c r="H303" s="13">
        <f t="shared" si="23"/>
        <v>10.581408000000001</v>
      </c>
      <c r="I303" s="13">
        <f t="shared" si="24"/>
        <v>385.16325119999999</v>
      </c>
      <c r="J303" s="126"/>
      <c r="K303" s="127"/>
      <c r="L303" s="127"/>
      <c r="M303" s="127"/>
      <c r="N303" s="127"/>
      <c r="O303" s="127"/>
      <c r="P303" s="127"/>
    </row>
    <row r="304" spans="1:16" ht="60" x14ac:dyDescent="0.25">
      <c r="A304" s="164">
        <v>285</v>
      </c>
      <c r="B304" s="207"/>
      <c r="C304" s="12" t="s">
        <v>70</v>
      </c>
      <c r="D304" s="25" t="s">
        <v>71</v>
      </c>
      <c r="E304" s="112" t="s">
        <v>8</v>
      </c>
      <c r="F304" s="20">
        <f>F303</f>
        <v>36.399999999999991</v>
      </c>
      <c r="G304" s="13">
        <v>4.21</v>
      </c>
      <c r="H304" s="13">
        <f t="shared" si="23"/>
        <v>5.1559869999999997</v>
      </c>
      <c r="I304" s="13">
        <f t="shared" si="24"/>
        <v>187.67792679999994</v>
      </c>
      <c r="J304" s="126"/>
      <c r="K304" s="127"/>
      <c r="L304" s="127"/>
      <c r="M304" s="127"/>
      <c r="N304" s="127"/>
      <c r="O304" s="127"/>
      <c r="P304" s="127"/>
    </row>
    <row r="305" spans="1:16" ht="75" x14ac:dyDescent="0.25">
      <c r="A305" s="164">
        <v>286</v>
      </c>
      <c r="B305" s="207"/>
      <c r="C305" s="12" t="s">
        <v>72</v>
      </c>
      <c r="D305" s="163" t="s">
        <v>73</v>
      </c>
      <c r="E305" s="112" t="s">
        <v>8</v>
      </c>
      <c r="F305" s="20">
        <f>2.8*1.6+0.8*2.1</f>
        <v>6.16</v>
      </c>
      <c r="G305" s="13">
        <v>22.57</v>
      </c>
      <c r="H305" s="13">
        <f t="shared" si="23"/>
        <v>27.641479</v>
      </c>
      <c r="I305" s="13">
        <f t="shared" si="24"/>
        <v>170.27151064</v>
      </c>
      <c r="J305" s="126"/>
      <c r="K305" s="127"/>
      <c r="L305" s="127"/>
      <c r="M305" s="127"/>
      <c r="N305" s="127"/>
      <c r="O305" s="127"/>
      <c r="P305" s="127"/>
    </row>
    <row r="306" spans="1:16" ht="60" x14ac:dyDescent="0.25">
      <c r="A306" s="164">
        <v>287</v>
      </c>
      <c r="B306" s="207"/>
      <c r="C306" s="160" t="s">
        <v>74</v>
      </c>
      <c r="D306" s="163" t="s">
        <v>75</v>
      </c>
      <c r="E306" s="112" t="s">
        <v>8</v>
      </c>
      <c r="F306" s="20">
        <f>14.23</f>
        <v>14.23</v>
      </c>
      <c r="G306" s="13">
        <v>14.14</v>
      </c>
      <c r="H306" s="13">
        <f t="shared" si="23"/>
        <v>17.317258000000002</v>
      </c>
      <c r="I306" s="13">
        <f t="shared" si="24"/>
        <v>246.42458134000003</v>
      </c>
      <c r="J306" s="126"/>
      <c r="K306" s="127"/>
      <c r="L306" s="127"/>
      <c r="M306" s="127"/>
      <c r="N306" s="127"/>
      <c r="O306" s="127"/>
      <c r="P306" s="127"/>
    </row>
    <row r="307" spans="1:16" ht="60" x14ac:dyDescent="0.25">
      <c r="A307" s="164">
        <v>288</v>
      </c>
      <c r="B307" s="207"/>
      <c r="C307" s="113" t="s">
        <v>76</v>
      </c>
      <c r="D307" s="42" t="s">
        <v>77</v>
      </c>
      <c r="E307" s="112" t="s">
        <v>8</v>
      </c>
      <c r="F307" s="20">
        <v>14.23</v>
      </c>
      <c r="G307" s="13">
        <v>5.28</v>
      </c>
      <c r="H307" s="13">
        <f t="shared" si="23"/>
        <v>6.4664160000000006</v>
      </c>
      <c r="I307" s="13">
        <f t="shared" si="24"/>
        <v>92.017099680000015</v>
      </c>
      <c r="J307" s="126"/>
      <c r="K307" s="127"/>
      <c r="L307" s="127"/>
      <c r="M307" s="127"/>
      <c r="N307" s="127"/>
      <c r="O307" s="127"/>
      <c r="P307" s="127"/>
    </row>
    <row r="308" spans="1:16" ht="75" x14ac:dyDescent="0.25">
      <c r="A308" s="164">
        <v>289</v>
      </c>
      <c r="B308" s="207" t="s">
        <v>119</v>
      </c>
      <c r="C308" s="12" t="s">
        <v>72</v>
      </c>
      <c r="D308" s="163" t="s">
        <v>73</v>
      </c>
      <c r="E308" s="112" t="s">
        <v>8</v>
      </c>
      <c r="F308" s="20">
        <f>2*0.5*0.7+0.6*2.1</f>
        <v>1.96</v>
      </c>
      <c r="G308" s="13">
        <v>22.57</v>
      </c>
      <c r="H308" s="13">
        <f t="shared" si="23"/>
        <v>27.641479</v>
      </c>
      <c r="I308" s="13">
        <f t="shared" si="24"/>
        <v>54.177298839999999</v>
      </c>
      <c r="J308" s="126"/>
      <c r="K308" s="127"/>
      <c r="L308" s="127"/>
      <c r="M308" s="127"/>
      <c r="N308" s="127"/>
      <c r="O308" s="127"/>
      <c r="P308" s="127"/>
    </row>
    <row r="309" spans="1:16" ht="60" x14ac:dyDescent="0.25">
      <c r="A309" s="164">
        <v>290</v>
      </c>
      <c r="B309" s="207"/>
      <c r="C309" s="160" t="s">
        <v>74</v>
      </c>
      <c r="D309" s="163" t="s">
        <v>75</v>
      </c>
      <c r="E309" s="112" t="s">
        <v>8</v>
      </c>
      <c r="F309" s="20">
        <v>9.56</v>
      </c>
      <c r="G309" s="13">
        <v>14.14</v>
      </c>
      <c r="H309" s="13">
        <f t="shared" si="23"/>
        <v>17.317258000000002</v>
      </c>
      <c r="I309" s="13">
        <f t="shared" si="24"/>
        <v>165.55298648000004</v>
      </c>
      <c r="J309" s="126"/>
      <c r="K309" s="127"/>
      <c r="L309" s="127"/>
      <c r="M309" s="127"/>
      <c r="N309" s="127"/>
      <c r="O309" s="127"/>
      <c r="P309" s="127"/>
    </row>
    <row r="310" spans="1:16" ht="60" x14ac:dyDescent="0.25">
      <c r="A310" s="164">
        <v>291</v>
      </c>
      <c r="B310" s="207"/>
      <c r="C310" s="113" t="s">
        <v>76</v>
      </c>
      <c r="D310" s="42" t="s">
        <v>77</v>
      </c>
      <c r="E310" s="112" t="s">
        <v>8</v>
      </c>
      <c r="F310" s="20">
        <v>9.56</v>
      </c>
      <c r="G310" s="13">
        <v>5.28</v>
      </c>
      <c r="H310" s="13">
        <f t="shared" si="23"/>
        <v>6.4664160000000006</v>
      </c>
      <c r="I310" s="13">
        <f t="shared" si="24"/>
        <v>61.818936960000009</v>
      </c>
      <c r="J310" s="126"/>
      <c r="K310" s="127"/>
      <c r="L310" s="127"/>
      <c r="M310" s="127"/>
      <c r="N310" s="127"/>
      <c r="O310" s="127"/>
      <c r="P310" s="127"/>
    </row>
    <row r="311" spans="1:16" ht="75" x14ac:dyDescent="0.25">
      <c r="A311" s="164">
        <v>292</v>
      </c>
      <c r="B311" s="207" t="s">
        <v>120</v>
      </c>
      <c r="C311" s="12" t="s">
        <v>72</v>
      </c>
      <c r="D311" s="163" t="s">
        <v>73</v>
      </c>
      <c r="E311" s="112" t="s">
        <v>8</v>
      </c>
      <c r="F311" s="20">
        <f>2*0.5*0.7+0.6*2.1</f>
        <v>1.96</v>
      </c>
      <c r="G311" s="13">
        <v>22.57</v>
      </c>
      <c r="H311" s="13">
        <f t="shared" si="23"/>
        <v>27.641479</v>
      </c>
      <c r="I311" s="13">
        <f t="shared" si="24"/>
        <v>54.177298839999999</v>
      </c>
      <c r="J311" s="126"/>
      <c r="K311" s="127"/>
      <c r="L311" s="127"/>
      <c r="M311" s="127"/>
      <c r="N311" s="127"/>
      <c r="O311" s="127"/>
      <c r="P311" s="127"/>
    </row>
    <row r="312" spans="1:16" ht="60" x14ac:dyDescent="0.25">
      <c r="A312" s="164">
        <v>293</v>
      </c>
      <c r="B312" s="207"/>
      <c r="C312" s="160" t="s">
        <v>74</v>
      </c>
      <c r="D312" s="163" t="s">
        <v>75</v>
      </c>
      <c r="E312" s="112" t="s">
        <v>8</v>
      </c>
      <c r="F312" s="20">
        <v>9.56</v>
      </c>
      <c r="G312" s="13">
        <v>14.14</v>
      </c>
      <c r="H312" s="13">
        <f t="shared" si="23"/>
        <v>17.317258000000002</v>
      </c>
      <c r="I312" s="13">
        <f t="shared" si="24"/>
        <v>165.55298648000004</v>
      </c>
      <c r="J312" s="126"/>
      <c r="K312" s="127"/>
      <c r="L312" s="127"/>
      <c r="M312" s="127"/>
      <c r="N312" s="127"/>
      <c r="O312" s="127"/>
      <c r="P312" s="127"/>
    </row>
    <row r="313" spans="1:16" ht="60" x14ac:dyDescent="0.25">
      <c r="A313" s="164">
        <v>294</v>
      </c>
      <c r="B313" s="207"/>
      <c r="C313" s="113" t="s">
        <v>76</v>
      </c>
      <c r="D313" s="42" t="s">
        <v>77</v>
      </c>
      <c r="E313" s="112" t="s">
        <v>8</v>
      </c>
      <c r="F313" s="20">
        <v>9.56</v>
      </c>
      <c r="G313" s="13">
        <v>5.28</v>
      </c>
      <c r="H313" s="13">
        <f t="shared" si="23"/>
        <v>6.4664160000000006</v>
      </c>
      <c r="I313" s="13">
        <f t="shared" si="24"/>
        <v>61.818936960000009</v>
      </c>
      <c r="J313" s="126"/>
      <c r="K313" s="127"/>
      <c r="L313" s="127"/>
      <c r="M313" s="127"/>
      <c r="N313" s="127"/>
      <c r="O313" s="127"/>
      <c r="P313" s="127"/>
    </row>
    <row r="314" spans="1:16" ht="45" x14ac:dyDescent="0.25">
      <c r="A314" s="164">
        <v>295</v>
      </c>
      <c r="B314" s="207" t="s">
        <v>121</v>
      </c>
      <c r="C314" s="12" t="s">
        <v>68</v>
      </c>
      <c r="D314" s="25" t="s">
        <v>69</v>
      </c>
      <c r="E314" s="112" t="s">
        <v>8</v>
      </c>
      <c r="F314" s="20">
        <f>8.4*2.8-F316</f>
        <v>21.14</v>
      </c>
      <c r="G314" s="13">
        <v>8.64</v>
      </c>
      <c r="H314" s="13">
        <f t="shared" si="23"/>
        <v>10.581408000000001</v>
      </c>
      <c r="I314" s="13">
        <f t="shared" si="24"/>
        <v>223.69096512000004</v>
      </c>
      <c r="J314" s="126"/>
      <c r="K314" s="127"/>
      <c r="L314" s="127"/>
      <c r="M314" s="127"/>
      <c r="N314" s="127"/>
      <c r="O314" s="127"/>
      <c r="P314" s="127"/>
    </row>
    <row r="315" spans="1:16" ht="60" x14ac:dyDescent="0.25">
      <c r="A315" s="164">
        <v>296</v>
      </c>
      <c r="B315" s="207"/>
      <c r="C315" s="12" t="s">
        <v>70</v>
      </c>
      <c r="D315" s="25" t="s">
        <v>71</v>
      </c>
      <c r="E315" s="112" t="s">
        <v>8</v>
      </c>
      <c r="F315" s="20">
        <f>F314</f>
        <v>21.14</v>
      </c>
      <c r="G315" s="13">
        <v>4.21</v>
      </c>
      <c r="H315" s="13">
        <f t="shared" si="23"/>
        <v>5.1559869999999997</v>
      </c>
      <c r="I315" s="13">
        <f t="shared" si="24"/>
        <v>108.99756518</v>
      </c>
      <c r="J315" s="126"/>
      <c r="K315" s="127"/>
      <c r="L315" s="127"/>
      <c r="M315" s="127"/>
      <c r="N315" s="127"/>
      <c r="O315" s="127"/>
      <c r="P315" s="127"/>
    </row>
    <row r="316" spans="1:16" ht="75" x14ac:dyDescent="0.25">
      <c r="A316" s="164">
        <v>297</v>
      </c>
      <c r="B316" s="207"/>
      <c r="C316" s="12" t="s">
        <v>72</v>
      </c>
      <c r="D316" s="163" t="s">
        <v>73</v>
      </c>
      <c r="E316" s="112" t="s">
        <v>8</v>
      </c>
      <c r="F316" s="20">
        <f>2*0.7*0.5+0.8*2.1</f>
        <v>2.38</v>
      </c>
      <c r="G316" s="13">
        <v>22.57</v>
      </c>
      <c r="H316" s="13">
        <f t="shared" si="23"/>
        <v>27.641479</v>
      </c>
      <c r="I316" s="13">
        <f t="shared" si="24"/>
        <v>65.786720020000004</v>
      </c>
      <c r="J316" s="126"/>
      <c r="K316" s="127"/>
      <c r="L316" s="127"/>
      <c r="M316" s="127"/>
      <c r="N316" s="127"/>
      <c r="O316" s="127"/>
      <c r="P316" s="127"/>
    </row>
    <row r="317" spans="1:16" ht="60" x14ac:dyDescent="0.25">
      <c r="A317" s="164">
        <v>298</v>
      </c>
      <c r="B317" s="207"/>
      <c r="C317" s="160" t="s">
        <v>74</v>
      </c>
      <c r="D317" s="163" t="s">
        <v>75</v>
      </c>
      <c r="E317" s="112" t="s">
        <v>8</v>
      </c>
      <c r="F317" s="20">
        <v>4.4000000000000004</v>
      </c>
      <c r="G317" s="13">
        <v>14.14</v>
      </c>
      <c r="H317" s="13">
        <f t="shared" si="23"/>
        <v>17.317258000000002</v>
      </c>
      <c r="I317" s="13">
        <f t="shared" si="24"/>
        <v>76.195935200000022</v>
      </c>
      <c r="J317" s="126"/>
      <c r="K317" s="127"/>
      <c r="L317" s="127"/>
      <c r="M317" s="127"/>
      <c r="N317" s="127"/>
      <c r="O317" s="127"/>
      <c r="P317" s="127"/>
    </row>
    <row r="318" spans="1:16" ht="60" x14ac:dyDescent="0.25">
      <c r="A318" s="164">
        <v>299</v>
      </c>
      <c r="B318" s="207"/>
      <c r="C318" s="113" t="s">
        <v>76</v>
      </c>
      <c r="D318" s="42" t="s">
        <v>77</v>
      </c>
      <c r="E318" s="112" t="s">
        <v>8</v>
      </c>
      <c r="F318" s="20">
        <v>4.4000000000000004</v>
      </c>
      <c r="G318" s="13">
        <v>5.28</v>
      </c>
      <c r="H318" s="13">
        <f t="shared" si="23"/>
        <v>6.4664160000000006</v>
      </c>
      <c r="I318" s="13">
        <f t="shared" si="24"/>
        <v>28.452230400000005</v>
      </c>
      <c r="J318" s="126"/>
      <c r="K318" s="127"/>
      <c r="L318" s="127"/>
      <c r="M318" s="127"/>
      <c r="N318" s="127"/>
      <c r="O318" s="127"/>
      <c r="P318" s="127"/>
    </row>
    <row r="319" spans="1:16" ht="75" x14ac:dyDescent="0.25">
      <c r="A319" s="164">
        <v>300</v>
      </c>
      <c r="B319" s="207" t="s">
        <v>123</v>
      </c>
      <c r="C319" s="12" t="s">
        <v>72</v>
      </c>
      <c r="D319" s="163" t="s">
        <v>73</v>
      </c>
      <c r="E319" s="112" t="s">
        <v>8</v>
      </c>
      <c r="F319" s="20">
        <f>1.8*1.6+2.8*1.6+0.8*2.1</f>
        <v>9.0399999999999991</v>
      </c>
      <c r="G319" s="13">
        <v>22.57</v>
      </c>
      <c r="H319" s="13">
        <f t="shared" si="23"/>
        <v>27.641479</v>
      </c>
      <c r="I319" s="13">
        <f t="shared" si="24"/>
        <v>249.87897015999997</v>
      </c>
      <c r="J319" s="126"/>
      <c r="K319" s="127"/>
      <c r="L319" s="127"/>
      <c r="M319" s="127"/>
      <c r="N319" s="127"/>
      <c r="O319" s="127"/>
      <c r="P319" s="127"/>
    </row>
    <row r="320" spans="1:16" ht="60" x14ac:dyDescent="0.25">
      <c r="A320" s="164">
        <v>301</v>
      </c>
      <c r="B320" s="207"/>
      <c r="C320" s="160" t="s">
        <v>74</v>
      </c>
      <c r="D320" s="163" t="s">
        <v>75</v>
      </c>
      <c r="E320" s="112" t="s">
        <v>8</v>
      </c>
      <c r="F320" s="20">
        <v>16.149999999999999</v>
      </c>
      <c r="G320" s="13">
        <v>14.14</v>
      </c>
      <c r="H320" s="13">
        <f t="shared" si="23"/>
        <v>17.317258000000002</v>
      </c>
      <c r="I320" s="13">
        <f t="shared" si="24"/>
        <v>279.6737167</v>
      </c>
      <c r="J320" s="126"/>
      <c r="K320" s="127"/>
      <c r="L320" s="127"/>
      <c r="M320" s="127"/>
      <c r="N320" s="127"/>
      <c r="O320" s="127"/>
      <c r="P320" s="127"/>
    </row>
    <row r="321" spans="1:16" ht="60" x14ac:dyDescent="0.25">
      <c r="A321" s="164">
        <v>302</v>
      </c>
      <c r="B321" s="207"/>
      <c r="C321" s="113" t="s">
        <v>76</v>
      </c>
      <c r="D321" s="42" t="s">
        <v>77</v>
      </c>
      <c r="E321" s="112" t="s">
        <v>8</v>
      </c>
      <c r="F321" s="20">
        <v>16.149999999999999</v>
      </c>
      <c r="G321" s="13">
        <v>5.28</v>
      </c>
      <c r="H321" s="13">
        <f t="shared" si="23"/>
        <v>6.4664160000000006</v>
      </c>
      <c r="I321" s="13">
        <f t="shared" si="24"/>
        <v>104.4326184</v>
      </c>
      <c r="J321" s="126"/>
      <c r="K321" s="127"/>
      <c r="L321" s="127"/>
      <c r="M321" s="127"/>
      <c r="N321" s="127"/>
      <c r="O321" s="127"/>
      <c r="P321" s="127"/>
    </row>
    <row r="322" spans="1:16" ht="75" x14ac:dyDescent="0.25">
      <c r="A322" s="164">
        <v>303</v>
      </c>
      <c r="B322" s="207" t="s">
        <v>122</v>
      </c>
      <c r="C322" s="12" t="s">
        <v>72</v>
      </c>
      <c r="D322" s="163" t="s">
        <v>73</v>
      </c>
      <c r="E322" s="112" t="s">
        <v>8</v>
      </c>
      <c r="F322" s="20">
        <f>0.5*0.5+0.6*2.1</f>
        <v>1.51</v>
      </c>
      <c r="G322" s="13">
        <v>22.57</v>
      </c>
      <c r="H322" s="13">
        <f t="shared" si="23"/>
        <v>27.641479</v>
      </c>
      <c r="I322" s="13">
        <f t="shared" si="24"/>
        <v>41.738633290000003</v>
      </c>
      <c r="J322" s="126"/>
      <c r="K322" s="127"/>
      <c r="L322" s="127"/>
      <c r="M322" s="127"/>
      <c r="N322" s="127"/>
      <c r="O322" s="127"/>
      <c r="P322" s="127"/>
    </row>
    <row r="323" spans="1:16" ht="60" x14ac:dyDescent="0.25">
      <c r="A323" s="164">
        <v>304</v>
      </c>
      <c r="B323" s="207"/>
      <c r="C323" s="160" t="s">
        <v>74</v>
      </c>
      <c r="D323" s="163" t="s">
        <v>75</v>
      </c>
      <c r="E323" s="112" t="s">
        <v>8</v>
      </c>
      <c r="F323" s="20">
        <v>1.85</v>
      </c>
      <c r="G323" s="13">
        <v>14.14</v>
      </c>
      <c r="H323" s="13">
        <f t="shared" si="23"/>
        <v>17.317258000000002</v>
      </c>
      <c r="I323" s="13">
        <f t="shared" si="24"/>
        <v>32.036927300000009</v>
      </c>
      <c r="J323" s="126"/>
      <c r="K323" s="127"/>
      <c r="L323" s="127"/>
      <c r="M323" s="127"/>
      <c r="N323" s="127"/>
      <c r="O323" s="127"/>
      <c r="P323" s="127"/>
    </row>
    <row r="324" spans="1:16" ht="60" x14ac:dyDescent="0.25">
      <c r="A324" s="164">
        <v>305</v>
      </c>
      <c r="B324" s="207"/>
      <c r="C324" s="113" t="s">
        <v>76</v>
      </c>
      <c r="D324" s="42" t="s">
        <v>77</v>
      </c>
      <c r="E324" s="112" t="s">
        <v>8</v>
      </c>
      <c r="F324" s="20">
        <v>1.85</v>
      </c>
      <c r="G324" s="13">
        <v>5.28</v>
      </c>
      <c r="H324" s="13">
        <f t="shared" si="23"/>
        <v>6.4664160000000006</v>
      </c>
      <c r="I324" s="13">
        <f t="shared" si="24"/>
        <v>11.962869600000001</v>
      </c>
      <c r="J324" s="126"/>
      <c r="K324" s="127"/>
      <c r="L324" s="127"/>
      <c r="M324" s="127"/>
      <c r="N324" s="127"/>
      <c r="O324" s="127"/>
      <c r="P324" s="127"/>
    </row>
    <row r="325" spans="1:16" ht="45" x14ac:dyDescent="0.25">
      <c r="A325" s="164">
        <v>306</v>
      </c>
      <c r="B325" s="207" t="s">
        <v>125</v>
      </c>
      <c r="C325" s="12" t="s">
        <v>68</v>
      </c>
      <c r="D325" s="25" t="s">
        <v>69</v>
      </c>
      <c r="E325" s="112" t="s">
        <v>8</v>
      </c>
      <c r="F325" s="20">
        <f>(2*8.4*3+2*(6.5*3+6.5*1.25/2))+(2*8.5*3+2*(6.5*3+6.5*1.25/2))+(2*((3.2+5.3)*4.55/2)+(14.5*3.2)+(14.5*5.3))+((17.35*6)+2*((4.5+3.2)*4.4/2)+(17.35*3.2)+2*((4.5+3.5)*4.4/2))+(5.15+25.75)*1-F280-F285-F290-F295-F300-F305-F308-F311-F316--F319-F322</f>
        <v>567.07500000000005</v>
      </c>
      <c r="G325" s="13">
        <v>8.64</v>
      </c>
      <c r="H325" s="13">
        <f t="shared" si="23"/>
        <v>10.581408000000001</v>
      </c>
      <c r="I325" s="13">
        <f t="shared" si="24"/>
        <v>6000.4519416000012</v>
      </c>
      <c r="J325" s="126"/>
      <c r="K325" s="127"/>
      <c r="L325" s="127"/>
      <c r="M325" s="127"/>
      <c r="N325" s="127"/>
      <c r="O325" s="127"/>
      <c r="P325" s="127"/>
    </row>
    <row r="326" spans="1:16" ht="60" x14ac:dyDescent="0.25">
      <c r="A326" s="164">
        <v>307</v>
      </c>
      <c r="B326" s="207"/>
      <c r="C326" s="12" t="s">
        <v>70</v>
      </c>
      <c r="D326" s="25" t="s">
        <v>71</v>
      </c>
      <c r="E326" s="112" t="s">
        <v>8</v>
      </c>
      <c r="F326" s="20">
        <f>F325</f>
        <v>567.07500000000005</v>
      </c>
      <c r="G326" s="13">
        <v>4.21</v>
      </c>
      <c r="H326" s="13">
        <f t="shared" si="23"/>
        <v>5.1559869999999997</v>
      </c>
      <c r="I326" s="13">
        <f t="shared" si="24"/>
        <v>2923.8313280249999</v>
      </c>
      <c r="J326" s="126"/>
      <c r="K326" s="127"/>
      <c r="L326" s="127"/>
      <c r="M326" s="127"/>
      <c r="N326" s="127"/>
      <c r="O326" s="127"/>
      <c r="P326" s="127"/>
    </row>
    <row r="327" spans="1:16" ht="45" x14ac:dyDescent="0.25">
      <c r="A327" s="164">
        <v>308</v>
      </c>
      <c r="B327" s="207" t="s">
        <v>124</v>
      </c>
      <c r="C327" s="12" t="s">
        <v>68</v>
      </c>
      <c r="D327" s="25" t="s">
        <v>69</v>
      </c>
      <c r="E327" s="112" t="s">
        <v>8</v>
      </c>
      <c r="F327" s="20">
        <f>F328</f>
        <v>302.03800000000001</v>
      </c>
      <c r="G327" s="13">
        <v>8.64</v>
      </c>
      <c r="H327" s="13">
        <f t="shared" si="23"/>
        <v>10.581408000000001</v>
      </c>
      <c r="I327" s="13">
        <f t="shared" si="24"/>
        <v>3195.9873095040007</v>
      </c>
      <c r="J327" s="126"/>
      <c r="K327" s="127"/>
      <c r="L327" s="127"/>
      <c r="M327" s="127"/>
      <c r="N327" s="127"/>
      <c r="O327" s="127"/>
      <c r="P327" s="127"/>
    </row>
    <row r="328" spans="1:16" ht="60" x14ac:dyDescent="0.25">
      <c r="A328" s="164">
        <v>309</v>
      </c>
      <c r="B328" s="207"/>
      <c r="C328" s="12" t="s">
        <v>70</v>
      </c>
      <c r="D328" s="25" t="s">
        <v>71</v>
      </c>
      <c r="E328" s="112" t="s">
        <v>8</v>
      </c>
      <c r="F328" s="20">
        <f>140.29*2.2-F329</f>
        <v>302.03800000000001</v>
      </c>
      <c r="G328" s="13">
        <v>4.21</v>
      </c>
      <c r="H328" s="13">
        <f t="shared" si="23"/>
        <v>5.1559869999999997</v>
      </c>
      <c r="I328" s="13">
        <f t="shared" si="24"/>
        <v>1557.3040015059998</v>
      </c>
      <c r="J328" s="126"/>
      <c r="K328" s="127"/>
      <c r="L328" s="127"/>
      <c r="M328" s="127"/>
      <c r="N328" s="127"/>
      <c r="O328" s="127"/>
      <c r="P328" s="127"/>
    </row>
    <row r="329" spans="1:16" ht="75" x14ac:dyDescent="0.25">
      <c r="A329" s="164">
        <v>310</v>
      </c>
      <c r="B329" s="207"/>
      <c r="C329" s="12" t="s">
        <v>72</v>
      </c>
      <c r="D329" s="163" t="s">
        <v>73</v>
      </c>
      <c r="E329" s="112" t="s">
        <v>8</v>
      </c>
      <c r="F329" s="20">
        <f>3*2.2</f>
        <v>6.6000000000000005</v>
      </c>
      <c r="G329" s="13">
        <v>22.57</v>
      </c>
      <c r="H329" s="13">
        <f t="shared" si="23"/>
        <v>27.641479</v>
      </c>
      <c r="I329" s="13">
        <f t="shared" si="24"/>
        <v>182.43376140000001</v>
      </c>
      <c r="J329" s="126"/>
      <c r="K329" s="127"/>
      <c r="L329" s="127"/>
      <c r="M329" s="127"/>
      <c r="N329" s="127"/>
      <c r="O329" s="127"/>
      <c r="P329" s="127"/>
    </row>
    <row r="330" spans="1:16" ht="27" customHeight="1" x14ac:dyDescent="0.25">
      <c r="A330" s="164">
        <v>311</v>
      </c>
      <c r="B330" s="208" t="s">
        <v>351</v>
      </c>
      <c r="C330" s="208"/>
      <c r="D330" s="208"/>
      <c r="E330" s="208"/>
      <c r="F330" s="208"/>
      <c r="G330" s="208"/>
      <c r="H330" s="208"/>
      <c r="I330" s="30">
        <f>SUM(I331:I404)</f>
        <v>35928.342017657502</v>
      </c>
      <c r="J330" s="233"/>
      <c r="K330" s="234"/>
      <c r="L330" s="234"/>
      <c r="M330" s="234"/>
      <c r="N330" s="234"/>
      <c r="O330" s="234"/>
      <c r="P330" s="235"/>
    </row>
    <row r="331" spans="1:16" ht="30" x14ac:dyDescent="0.25">
      <c r="A331" s="164">
        <v>312</v>
      </c>
      <c r="B331" s="112"/>
      <c r="C331" s="150" t="s">
        <v>155</v>
      </c>
      <c r="D331" s="151" t="s">
        <v>154</v>
      </c>
      <c r="E331" s="112" t="s">
        <v>8</v>
      </c>
      <c r="F331" s="112">
        <v>2.88</v>
      </c>
      <c r="G331" s="112">
        <v>312.06</v>
      </c>
      <c r="H331" s="13">
        <f t="shared" ref="H331:H392" si="25">G331+G331*B$18</f>
        <v>382.17988200000002</v>
      </c>
      <c r="I331" s="13">
        <f t="shared" ref="I331:I392" si="26">H331*F331</f>
        <v>1100.6780601600001</v>
      </c>
      <c r="J331" s="126"/>
      <c r="K331" s="127"/>
      <c r="L331" s="127"/>
      <c r="M331" s="127"/>
      <c r="N331" s="127"/>
      <c r="O331" s="127"/>
      <c r="P331" s="127"/>
    </row>
    <row r="332" spans="1:16" ht="75" x14ac:dyDescent="0.25">
      <c r="A332" s="164">
        <v>313</v>
      </c>
      <c r="B332" s="209" t="s">
        <v>104</v>
      </c>
      <c r="C332" s="112" t="s">
        <v>150</v>
      </c>
      <c r="D332" s="163" t="s">
        <v>147</v>
      </c>
      <c r="E332" s="112" t="s">
        <v>146</v>
      </c>
      <c r="F332" s="112">
        <v>4</v>
      </c>
      <c r="G332" s="112">
        <v>12</v>
      </c>
      <c r="H332" s="13">
        <f t="shared" si="25"/>
        <v>14.696400000000001</v>
      </c>
      <c r="I332" s="13">
        <f t="shared" si="26"/>
        <v>58.785600000000002</v>
      </c>
      <c r="J332" s="126"/>
      <c r="K332" s="127"/>
      <c r="L332" s="127"/>
      <c r="M332" s="127"/>
      <c r="N332" s="127"/>
      <c r="O332" s="127"/>
      <c r="P332" s="127"/>
    </row>
    <row r="333" spans="1:16" ht="45" x14ac:dyDescent="0.25">
      <c r="A333" s="164">
        <v>314</v>
      </c>
      <c r="B333" s="209"/>
      <c r="C333" s="112" t="s">
        <v>149</v>
      </c>
      <c r="D333" s="163" t="s">
        <v>148</v>
      </c>
      <c r="E333" s="112" t="s">
        <v>19</v>
      </c>
      <c r="F333" s="112">
        <v>4</v>
      </c>
      <c r="G333" s="142">
        <v>6.52</v>
      </c>
      <c r="H333" s="13">
        <f t="shared" si="25"/>
        <v>7.9850439999999994</v>
      </c>
      <c r="I333" s="13">
        <f t="shared" si="26"/>
        <v>31.940175999999997</v>
      </c>
      <c r="J333" s="126"/>
      <c r="K333" s="127"/>
      <c r="L333" s="127"/>
      <c r="M333" s="127"/>
      <c r="N333" s="127"/>
      <c r="O333" s="127"/>
      <c r="P333" s="127"/>
    </row>
    <row r="334" spans="1:16" ht="45" x14ac:dyDescent="0.25">
      <c r="A334" s="164">
        <v>315</v>
      </c>
      <c r="B334" s="207" t="s">
        <v>114</v>
      </c>
      <c r="C334" s="12" t="s">
        <v>68</v>
      </c>
      <c r="D334" s="25" t="s">
        <v>69</v>
      </c>
      <c r="E334" s="112" t="s">
        <v>8</v>
      </c>
      <c r="F334" s="20">
        <f>22.1*2.8-F336</f>
        <v>55.400000000000006</v>
      </c>
      <c r="G334" s="13">
        <v>8.64</v>
      </c>
      <c r="H334" s="13">
        <f t="shared" si="25"/>
        <v>10.581408000000001</v>
      </c>
      <c r="I334" s="13">
        <f t="shared" si="26"/>
        <v>586.21000320000019</v>
      </c>
      <c r="J334" s="126"/>
      <c r="K334" s="127"/>
      <c r="L334" s="127"/>
      <c r="M334" s="127"/>
      <c r="N334" s="127"/>
      <c r="O334" s="127"/>
      <c r="P334" s="127"/>
    </row>
    <row r="335" spans="1:16" ht="60" x14ac:dyDescent="0.25">
      <c r="A335" s="164">
        <v>316</v>
      </c>
      <c r="B335" s="207"/>
      <c r="C335" s="12" t="s">
        <v>70</v>
      </c>
      <c r="D335" s="25" t="s">
        <v>71</v>
      </c>
      <c r="E335" s="112" t="s">
        <v>8</v>
      </c>
      <c r="F335" s="20">
        <f>F334</f>
        <v>55.400000000000006</v>
      </c>
      <c r="G335" s="13">
        <v>4.21</v>
      </c>
      <c r="H335" s="13">
        <f t="shared" si="25"/>
        <v>5.1559869999999997</v>
      </c>
      <c r="I335" s="13">
        <f t="shared" si="26"/>
        <v>285.64167980000002</v>
      </c>
      <c r="J335" s="126"/>
      <c r="K335" s="127"/>
      <c r="L335" s="127"/>
      <c r="M335" s="127"/>
      <c r="N335" s="127"/>
      <c r="O335" s="127"/>
      <c r="P335" s="127"/>
    </row>
    <row r="336" spans="1:16" ht="75" x14ac:dyDescent="0.25">
      <c r="A336" s="164">
        <v>317</v>
      </c>
      <c r="B336" s="207"/>
      <c r="C336" s="12" t="s">
        <v>72</v>
      </c>
      <c r="D336" s="163" t="s">
        <v>73</v>
      </c>
      <c r="E336" s="112" t="s">
        <v>8</v>
      </c>
      <c r="F336" s="20">
        <f>2*1.2*2+0.8*2.1</f>
        <v>6.48</v>
      </c>
      <c r="G336" s="13">
        <v>22.57</v>
      </c>
      <c r="H336" s="13">
        <f t="shared" si="25"/>
        <v>27.641479</v>
      </c>
      <c r="I336" s="13">
        <f t="shared" si="26"/>
        <v>179.11678392000002</v>
      </c>
      <c r="J336" s="126"/>
      <c r="K336" s="127"/>
      <c r="L336" s="127"/>
      <c r="M336" s="127"/>
      <c r="N336" s="127"/>
      <c r="O336" s="127"/>
      <c r="P336" s="127"/>
    </row>
    <row r="337" spans="1:16" ht="60" x14ac:dyDescent="0.25">
      <c r="A337" s="164">
        <v>318</v>
      </c>
      <c r="B337" s="207"/>
      <c r="C337" s="160" t="s">
        <v>74</v>
      </c>
      <c r="D337" s="163" t="s">
        <v>75</v>
      </c>
      <c r="E337" s="112" t="s">
        <v>8</v>
      </c>
      <c r="F337" s="20">
        <v>30.25</v>
      </c>
      <c r="G337" s="13">
        <v>14.14</v>
      </c>
      <c r="H337" s="13">
        <f t="shared" si="25"/>
        <v>17.317258000000002</v>
      </c>
      <c r="I337" s="13">
        <f t="shared" si="26"/>
        <v>523.84705450000013</v>
      </c>
      <c r="J337" s="126"/>
      <c r="K337" s="127"/>
      <c r="L337" s="127"/>
      <c r="M337" s="127"/>
      <c r="N337" s="127"/>
      <c r="O337" s="127"/>
      <c r="P337" s="127"/>
    </row>
    <row r="338" spans="1:16" ht="60" x14ac:dyDescent="0.25">
      <c r="A338" s="164">
        <v>319</v>
      </c>
      <c r="B338" s="207"/>
      <c r="C338" s="113" t="s">
        <v>76</v>
      </c>
      <c r="D338" s="42" t="s">
        <v>77</v>
      </c>
      <c r="E338" s="112" t="s">
        <v>8</v>
      </c>
      <c r="F338" s="20">
        <v>30.25</v>
      </c>
      <c r="G338" s="13">
        <v>5.28</v>
      </c>
      <c r="H338" s="13">
        <f t="shared" si="25"/>
        <v>6.4664160000000006</v>
      </c>
      <c r="I338" s="13">
        <f t="shared" si="26"/>
        <v>195.60908400000002</v>
      </c>
      <c r="J338" s="126"/>
      <c r="K338" s="127"/>
      <c r="L338" s="127"/>
      <c r="M338" s="127"/>
      <c r="N338" s="127"/>
      <c r="O338" s="127"/>
      <c r="P338" s="127"/>
    </row>
    <row r="339" spans="1:16" ht="45" x14ac:dyDescent="0.25">
      <c r="A339" s="164">
        <v>320</v>
      </c>
      <c r="B339" s="207" t="s">
        <v>115</v>
      </c>
      <c r="C339" s="12" t="s">
        <v>68</v>
      </c>
      <c r="D339" s="25" t="s">
        <v>69</v>
      </c>
      <c r="E339" s="112" t="s">
        <v>8</v>
      </c>
      <c r="F339" s="20">
        <f>21.2*2.8-F341</f>
        <v>52.879999999999995</v>
      </c>
      <c r="G339" s="13">
        <v>8.64</v>
      </c>
      <c r="H339" s="13">
        <f t="shared" si="25"/>
        <v>10.581408000000001</v>
      </c>
      <c r="I339" s="13">
        <f t="shared" si="26"/>
        <v>559.54485504000002</v>
      </c>
      <c r="J339" s="126"/>
      <c r="K339" s="127"/>
      <c r="L339" s="127"/>
      <c r="M339" s="127"/>
      <c r="N339" s="127"/>
      <c r="O339" s="127"/>
      <c r="P339" s="127"/>
    </row>
    <row r="340" spans="1:16" ht="60" x14ac:dyDescent="0.25">
      <c r="A340" s="164">
        <v>321</v>
      </c>
      <c r="B340" s="207"/>
      <c r="C340" s="12" t="s">
        <v>70</v>
      </c>
      <c r="D340" s="25" t="s">
        <v>71</v>
      </c>
      <c r="E340" s="112" t="s">
        <v>8</v>
      </c>
      <c r="F340" s="20">
        <f>F339</f>
        <v>52.879999999999995</v>
      </c>
      <c r="G340" s="13">
        <v>4.21</v>
      </c>
      <c r="H340" s="13">
        <f t="shared" si="25"/>
        <v>5.1559869999999997</v>
      </c>
      <c r="I340" s="13">
        <f t="shared" si="26"/>
        <v>272.64859255999994</v>
      </c>
      <c r="J340" s="126"/>
      <c r="K340" s="127"/>
      <c r="L340" s="127"/>
      <c r="M340" s="127"/>
      <c r="N340" s="127"/>
      <c r="O340" s="127"/>
      <c r="P340" s="127"/>
    </row>
    <row r="341" spans="1:16" ht="75" x14ac:dyDescent="0.25">
      <c r="A341" s="164">
        <v>322</v>
      </c>
      <c r="B341" s="207"/>
      <c r="C341" s="12" t="s">
        <v>72</v>
      </c>
      <c r="D341" s="163" t="s">
        <v>73</v>
      </c>
      <c r="E341" s="112" t="s">
        <v>8</v>
      </c>
      <c r="F341" s="20">
        <f>2*1.2*2+0.8*2.1</f>
        <v>6.48</v>
      </c>
      <c r="G341" s="13">
        <v>22.57</v>
      </c>
      <c r="H341" s="13">
        <f t="shared" si="25"/>
        <v>27.641479</v>
      </c>
      <c r="I341" s="13">
        <f t="shared" si="26"/>
        <v>179.11678392000002</v>
      </c>
      <c r="J341" s="126"/>
      <c r="K341" s="127"/>
      <c r="L341" s="127"/>
      <c r="M341" s="127"/>
      <c r="N341" s="127"/>
      <c r="O341" s="127"/>
      <c r="P341" s="127"/>
    </row>
    <row r="342" spans="1:16" ht="60" x14ac:dyDescent="0.25">
      <c r="A342" s="164">
        <v>323</v>
      </c>
      <c r="B342" s="207"/>
      <c r="C342" s="160" t="s">
        <v>74</v>
      </c>
      <c r="D342" s="163" t="s">
        <v>75</v>
      </c>
      <c r="E342" s="112" t="s">
        <v>8</v>
      </c>
      <c r="F342" s="20">
        <f>28</f>
        <v>28</v>
      </c>
      <c r="G342" s="13">
        <v>14.14</v>
      </c>
      <c r="H342" s="13">
        <f t="shared" si="25"/>
        <v>17.317258000000002</v>
      </c>
      <c r="I342" s="13">
        <f t="shared" si="26"/>
        <v>484.88322400000004</v>
      </c>
      <c r="J342" s="126"/>
      <c r="K342" s="127"/>
      <c r="L342" s="127"/>
      <c r="M342" s="127"/>
      <c r="N342" s="127"/>
      <c r="O342" s="127"/>
      <c r="P342" s="127"/>
    </row>
    <row r="343" spans="1:16" ht="60" x14ac:dyDescent="0.25">
      <c r="A343" s="164">
        <v>324</v>
      </c>
      <c r="B343" s="207"/>
      <c r="C343" s="113" t="s">
        <v>76</v>
      </c>
      <c r="D343" s="42" t="s">
        <v>77</v>
      </c>
      <c r="E343" s="112" t="s">
        <v>8</v>
      </c>
      <c r="F343" s="20">
        <v>28</v>
      </c>
      <c r="G343" s="13">
        <v>5.28</v>
      </c>
      <c r="H343" s="13">
        <f t="shared" si="25"/>
        <v>6.4664160000000006</v>
      </c>
      <c r="I343" s="13">
        <f t="shared" si="26"/>
        <v>181.05964800000001</v>
      </c>
      <c r="J343" s="126"/>
      <c r="K343" s="127"/>
      <c r="L343" s="127"/>
      <c r="M343" s="127"/>
      <c r="N343" s="127"/>
      <c r="O343" s="127"/>
      <c r="P343" s="127"/>
    </row>
    <row r="344" spans="1:16" ht="45" x14ac:dyDescent="0.25">
      <c r="A344" s="164">
        <v>325</v>
      </c>
      <c r="B344" s="207" t="s">
        <v>103</v>
      </c>
      <c r="C344" s="12" t="s">
        <v>68</v>
      </c>
      <c r="D344" s="25" t="s">
        <v>69</v>
      </c>
      <c r="E344" s="112" t="s">
        <v>8</v>
      </c>
      <c r="F344" s="20">
        <f>20*2.8-F346</f>
        <v>49.519999999999996</v>
      </c>
      <c r="G344" s="13">
        <v>8.64</v>
      </c>
      <c r="H344" s="13">
        <f t="shared" si="25"/>
        <v>10.581408000000001</v>
      </c>
      <c r="I344" s="13">
        <f t="shared" si="26"/>
        <v>523.99132415999998</v>
      </c>
      <c r="J344" s="126"/>
      <c r="K344" s="127"/>
      <c r="L344" s="127"/>
      <c r="M344" s="127"/>
      <c r="N344" s="127"/>
      <c r="O344" s="127"/>
      <c r="P344" s="127"/>
    </row>
    <row r="345" spans="1:16" ht="60" x14ac:dyDescent="0.25">
      <c r="A345" s="164">
        <v>326</v>
      </c>
      <c r="B345" s="207"/>
      <c r="C345" s="12" t="s">
        <v>70</v>
      </c>
      <c r="D345" s="25" t="s">
        <v>71</v>
      </c>
      <c r="E345" s="112" t="s">
        <v>8</v>
      </c>
      <c r="F345" s="20">
        <f>F344</f>
        <v>49.519999999999996</v>
      </c>
      <c r="G345" s="13">
        <v>4.21</v>
      </c>
      <c r="H345" s="13">
        <f t="shared" si="25"/>
        <v>5.1559869999999997</v>
      </c>
      <c r="I345" s="13">
        <f t="shared" si="26"/>
        <v>255.32447623999997</v>
      </c>
      <c r="J345" s="126"/>
      <c r="K345" s="127"/>
      <c r="L345" s="127"/>
      <c r="M345" s="127"/>
      <c r="N345" s="127"/>
      <c r="O345" s="127"/>
      <c r="P345" s="127"/>
    </row>
    <row r="346" spans="1:16" ht="75" x14ac:dyDescent="0.25">
      <c r="A346" s="164">
        <v>327</v>
      </c>
      <c r="B346" s="207"/>
      <c r="C346" s="12" t="s">
        <v>72</v>
      </c>
      <c r="D346" s="163" t="s">
        <v>73</v>
      </c>
      <c r="E346" s="112" t="s">
        <v>8</v>
      </c>
      <c r="F346" s="20">
        <f>2*1.2*2+0.8*2.1</f>
        <v>6.48</v>
      </c>
      <c r="G346" s="13">
        <v>22.57</v>
      </c>
      <c r="H346" s="13">
        <f t="shared" si="25"/>
        <v>27.641479</v>
      </c>
      <c r="I346" s="13">
        <f t="shared" si="26"/>
        <v>179.11678392000002</v>
      </c>
      <c r="J346" s="126"/>
      <c r="K346" s="127"/>
      <c r="L346" s="127"/>
      <c r="M346" s="127"/>
      <c r="N346" s="127"/>
      <c r="O346" s="127"/>
      <c r="P346" s="127"/>
    </row>
    <row r="347" spans="1:16" ht="60" x14ac:dyDescent="0.25">
      <c r="A347" s="164">
        <v>328</v>
      </c>
      <c r="B347" s="207"/>
      <c r="C347" s="160" t="s">
        <v>74</v>
      </c>
      <c r="D347" s="163" t="s">
        <v>75</v>
      </c>
      <c r="E347" s="112" t="s">
        <v>8</v>
      </c>
      <c r="F347" s="20">
        <v>30</v>
      </c>
      <c r="G347" s="13">
        <v>14.14</v>
      </c>
      <c r="H347" s="13">
        <f t="shared" si="25"/>
        <v>17.317258000000002</v>
      </c>
      <c r="I347" s="13">
        <f t="shared" si="26"/>
        <v>519.51774000000012</v>
      </c>
      <c r="J347" s="126"/>
      <c r="K347" s="127"/>
      <c r="L347" s="127"/>
      <c r="M347" s="127"/>
      <c r="N347" s="127"/>
      <c r="O347" s="127"/>
      <c r="P347" s="127"/>
    </row>
    <row r="348" spans="1:16" ht="60" x14ac:dyDescent="0.25">
      <c r="A348" s="164">
        <v>329</v>
      </c>
      <c r="B348" s="207"/>
      <c r="C348" s="113" t="s">
        <v>76</v>
      </c>
      <c r="D348" s="42" t="s">
        <v>77</v>
      </c>
      <c r="E348" s="112" t="s">
        <v>8</v>
      </c>
      <c r="F348" s="20">
        <v>30</v>
      </c>
      <c r="G348" s="13">
        <v>5.28</v>
      </c>
      <c r="H348" s="13">
        <f t="shared" si="25"/>
        <v>6.4664160000000006</v>
      </c>
      <c r="I348" s="13">
        <f t="shared" si="26"/>
        <v>193.99248000000003</v>
      </c>
      <c r="J348" s="126"/>
      <c r="K348" s="127"/>
      <c r="L348" s="127"/>
      <c r="M348" s="127"/>
      <c r="N348" s="127"/>
      <c r="O348" s="127"/>
      <c r="P348" s="127"/>
    </row>
    <row r="349" spans="1:16" ht="45" x14ac:dyDescent="0.25">
      <c r="A349" s="164">
        <v>330</v>
      </c>
      <c r="B349" s="207" t="s">
        <v>116</v>
      </c>
      <c r="C349" s="12" t="s">
        <v>68</v>
      </c>
      <c r="D349" s="25" t="s">
        <v>69</v>
      </c>
      <c r="E349" s="112" t="s">
        <v>8</v>
      </c>
      <c r="F349" s="20">
        <f>15*2.8-F351</f>
        <v>40.32</v>
      </c>
      <c r="G349" s="13">
        <v>8.64</v>
      </c>
      <c r="H349" s="13">
        <f t="shared" si="25"/>
        <v>10.581408000000001</v>
      </c>
      <c r="I349" s="13">
        <f t="shared" si="26"/>
        <v>426.64237056000007</v>
      </c>
      <c r="J349" s="126"/>
      <c r="K349" s="127"/>
      <c r="L349" s="127"/>
      <c r="M349" s="127"/>
      <c r="N349" s="127"/>
      <c r="O349" s="127"/>
      <c r="P349" s="127"/>
    </row>
    <row r="350" spans="1:16" ht="60" x14ac:dyDescent="0.25">
      <c r="A350" s="164">
        <v>331</v>
      </c>
      <c r="B350" s="207"/>
      <c r="C350" s="12" t="s">
        <v>70</v>
      </c>
      <c r="D350" s="25" t="s">
        <v>71</v>
      </c>
      <c r="E350" s="112" t="s">
        <v>8</v>
      </c>
      <c r="F350" s="20">
        <f>F349</f>
        <v>40.32</v>
      </c>
      <c r="G350" s="13">
        <v>4.21</v>
      </c>
      <c r="H350" s="13">
        <f t="shared" si="25"/>
        <v>5.1559869999999997</v>
      </c>
      <c r="I350" s="13">
        <f t="shared" si="26"/>
        <v>207.88939583999999</v>
      </c>
      <c r="J350" s="126"/>
      <c r="K350" s="127"/>
      <c r="L350" s="127"/>
      <c r="M350" s="127"/>
      <c r="N350" s="127"/>
      <c r="O350" s="127"/>
      <c r="P350" s="127"/>
    </row>
    <row r="351" spans="1:16" ht="75" x14ac:dyDescent="0.25">
      <c r="A351" s="164">
        <v>332</v>
      </c>
      <c r="B351" s="207"/>
      <c r="C351" s="12" t="s">
        <v>72</v>
      </c>
      <c r="D351" s="163" t="s">
        <v>73</v>
      </c>
      <c r="E351" s="112" t="s">
        <v>8</v>
      </c>
      <c r="F351" s="20">
        <f>0.8*2.1</f>
        <v>1.6800000000000002</v>
      </c>
      <c r="G351" s="13">
        <v>22.57</v>
      </c>
      <c r="H351" s="13">
        <f t="shared" si="25"/>
        <v>27.641479</v>
      </c>
      <c r="I351" s="13">
        <f t="shared" si="26"/>
        <v>46.437684720000007</v>
      </c>
      <c r="J351" s="126"/>
      <c r="K351" s="127"/>
      <c r="L351" s="127"/>
      <c r="M351" s="127"/>
      <c r="N351" s="127"/>
      <c r="O351" s="127"/>
      <c r="P351" s="127"/>
    </row>
    <row r="352" spans="1:16" ht="60" x14ac:dyDescent="0.25">
      <c r="A352" s="164">
        <v>333</v>
      </c>
      <c r="B352" s="207"/>
      <c r="C352" s="160" t="s">
        <v>74</v>
      </c>
      <c r="D352" s="163" t="s">
        <v>75</v>
      </c>
      <c r="E352" s="112" t="s">
        <v>8</v>
      </c>
      <c r="F352" s="20">
        <v>13.5</v>
      </c>
      <c r="G352" s="13">
        <v>14.14</v>
      </c>
      <c r="H352" s="13">
        <f t="shared" si="25"/>
        <v>17.317258000000002</v>
      </c>
      <c r="I352" s="13">
        <f t="shared" si="26"/>
        <v>233.78298300000003</v>
      </c>
      <c r="J352" s="126"/>
      <c r="K352" s="127"/>
      <c r="L352" s="127"/>
      <c r="M352" s="127"/>
      <c r="N352" s="127"/>
      <c r="O352" s="127"/>
      <c r="P352" s="127"/>
    </row>
    <row r="353" spans="1:16" ht="60" x14ac:dyDescent="0.25">
      <c r="A353" s="164">
        <v>334</v>
      </c>
      <c r="B353" s="207"/>
      <c r="C353" s="113" t="s">
        <v>76</v>
      </c>
      <c r="D353" s="42" t="s">
        <v>77</v>
      </c>
      <c r="E353" s="112" t="s">
        <v>8</v>
      </c>
      <c r="F353" s="20">
        <v>13.5</v>
      </c>
      <c r="G353" s="13">
        <v>5.28</v>
      </c>
      <c r="H353" s="13">
        <f t="shared" si="25"/>
        <v>6.4664160000000006</v>
      </c>
      <c r="I353" s="13">
        <f t="shared" si="26"/>
        <v>87.296616000000014</v>
      </c>
      <c r="J353" s="126"/>
      <c r="K353" s="127"/>
      <c r="L353" s="127"/>
      <c r="M353" s="127"/>
      <c r="N353" s="127"/>
      <c r="O353" s="127"/>
      <c r="P353" s="127"/>
    </row>
    <row r="354" spans="1:16" ht="45" x14ac:dyDescent="0.25">
      <c r="A354" s="164">
        <v>335</v>
      </c>
      <c r="B354" s="207" t="s">
        <v>117</v>
      </c>
      <c r="C354" s="12" t="s">
        <v>68</v>
      </c>
      <c r="D354" s="25" t="s">
        <v>69</v>
      </c>
      <c r="E354" s="112" t="s">
        <v>8</v>
      </c>
      <c r="F354" s="20">
        <f>23*2.8-F356</f>
        <v>60.319999999999993</v>
      </c>
      <c r="G354" s="13">
        <v>8.64</v>
      </c>
      <c r="H354" s="13">
        <f t="shared" si="25"/>
        <v>10.581408000000001</v>
      </c>
      <c r="I354" s="13">
        <f t="shared" si="26"/>
        <v>638.27053056</v>
      </c>
      <c r="J354" s="126"/>
      <c r="K354" s="127"/>
      <c r="L354" s="127"/>
      <c r="M354" s="127"/>
      <c r="N354" s="127"/>
      <c r="O354" s="127"/>
      <c r="P354" s="127"/>
    </row>
    <row r="355" spans="1:16" ht="60" x14ac:dyDescent="0.25">
      <c r="A355" s="164">
        <v>336</v>
      </c>
      <c r="B355" s="207"/>
      <c r="C355" s="12" t="s">
        <v>70</v>
      </c>
      <c r="D355" s="25" t="s">
        <v>71</v>
      </c>
      <c r="E355" s="112" t="s">
        <v>8</v>
      </c>
      <c r="F355" s="20">
        <f>F354</f>
        <v>60.319999999999993</v>
      </c>
      <c r="G355" s="13">
        <v>4.21</v>
      </c>
      <c r="H355" s="13">
        <f t="shared" si="25"/>
        <v>5.1559869999999997</v>
      </c>
      <c r="I355" s="13">
        <f t="shared" si="26"/>
        <v>311.00913583999994</v>
      </c>
      <c r="J355" s="126"/>
      <c r="K355" s="127"/>
      <c r="L355" s="127"/>
      <c r="M355" s="127"/>
      <c r="N355" s="127"/>
      <c r="O355" s="127"/>
      <c r="P355" s="127"/>
    </row>
    <row r="356" spans="1:16" ht="75" x14ac:dyDescent="0.25">
      <c r="A356" s="164">
        <v>337</v>
      </c>
      <c r="B356" s="207"/>
      <c r="C356" s="12" t="s">
        <v>72</v>
      </c>
      <c r="D356" s="163" t="s">
        <v>73</v>
      </c>
      <c r="E356" s="112" t="s">
        <v>8</v>
      </c>
      <c r="F356" s="20">
        <f>1.2*2+0.8*2.1</f>
        <v>4.08</v>
      </c>
      <c r="G356" s="13">
        <v>22.57</v>
      </c>
      <c r="H356" s="13">
        <f t="shared" si="25"/>
        <v>27.641479</v>
      </c>
      <c r="I356" s="13">
        <f t="shared" si="26"/>
        <v>112.77723432000001</v>
      </c>
      <c r="J356" s="126"/>
      <c r="K356" s="127"/>
      <c r="L356" s="127"/>
      <c r="M356" s="127"/>
      <c r="N356" s="127"/>
      <c r="O356" s="127"/>
      <c r="P356" s="127"/>
    </row>
    <row r="357" spans="1:16" ht="60" x14ac:dyDescent="0.25">
      <c r="A357" s="164">
        <v>338</v>
      </c>
      <c r="B357" s="207"/>
      <c r="C357" s="160" t="s">
        <v>74</v>
      </c>
      <c r="D357" s="163" t="s">
        <v>75</v>
      </c>
      <c r="E357" s="112" t="s">
        <v>8</v>
      </c>
      <c r="F357" s="20">
        <v>31.55</v>
      </c>
      <c r="G357" s="13">
        <v>14.14</v>
      </c>
      <c r="H357" s="13">
        <f t="shared" si="25"/>
        <v>17.317258000000002</v>
      </c>
      <c r="I357" s="13">
        <f t="shared" si="26"/>
        <v>546.35948990000009</v>
      </c>
      <c r="J357" s="126"/>
      <c r="K357" s="127"/>
      <c r="L357" s="127"/>
      <c r="M357" s="127"/>
      <c r="N357" s="127"/>
      <c r="O357" s="127"/>
      <c r="P357" s="127"/>
    </row>
    <row r="358" spans="1:16" ht="60" x14ac:dyDescent="0.25">
      <c r="A358" s="164">
        <v>339</v>
      </c>
      <c r="B358" s="207"/>
      <c r="C358" s="113" t="s">
        <v>76</v>
      </c>
      <c r="D358" s="42" t="s">
        <v>77</v>
      </c>
      <c r="E358" s="112" t="s">
        <v>8</v>
      </c>
      <c r="F358" s="20">
        <v>31.55</v>
      </c>
      <c r="G358" s="13">
        <v>5.28</v>
      </c>
      <c r="H358" s="13">
        <f t="shared" si="25"/>
        <v>6.4664160000000006</v>
      </c>
      <c r="I358" s="13">
        <f t="shared" si="26"/>
        <v>204.01542480000003</v>
      </c>
      <c r="J358" s="126"/>
      <c r="K358" s="127"/>
      <c r="L358" s="127"/>
      <c r="M358" s="127"/>
      <c r="N358" s="127"/>
      <c r="O358" s="127"/>
      <c r="P358" s="127"/>
    </row>
    <row r="359" spans="1:16" ht="45" x14ac:dyDescent="0.25">
      <c r="A359" s="164">
        <v>340</v>
      </c>
      <c r="B359" s="207" t="s">
        <v>118</v>
      </c>
      <c r="C359" s="12" t="s">
        <v>68</v>
      </c>
      <c r="D359" s="25" t="s">
        <v>69</v>
      </c>
      <c r="E359" s="112" t="s">
        <v>8</v>
      </c>
      <c r="F359" s="20">
        <f>20*2.8-F361</f>
        <v>51.92</v>
      </c>
      <c r="G359" s="13">
        <v>8.64</v>
      </c>
      <c r="H359" s="13">
        <f t="shared" si="25"/>
        <v>10.581408000000001</v>
      </c>
      <c r="I359" s="13">
        <f t="shared" si="26"/>
        <v>549.38670336000007</v>
      </c>
      <c r="J359" s="126"/>
      <c r="K359" s="127"/>
      <c r="L359" s="127"/>
      <c r="M359" s="127"/>
      <c r="N359" s="127"/>
      <c r="O359" s="127"/>
      <c r="P359" s="127"/>
    </row>
    <row r="360" spans="1:16" ht="60" x14ac:dyDescent="0.25">
      <c r="A360" s="164">
        <v>341</v>
      </c>
      <c r="B360" s="207"/>
      <c r="C360" s="12" t="s">
        <v>70</v>
      </c>
      <c r="D360" s="25" t="s">
        <v>71</v>
      </c>
      <c r="E360" s="112" t="s">
        <v>8</v>
      </c>
      <c r="F360" s="20">
        <f>F359</f>
        <v>51.92</v>
      </c>
      <c r="G360" s="13">
        <v>4.21</v>
      </c>
      <c r="H360" s="13">
        <f t="shared" si="25"/>
        <v>5.1559869999999997</v>
      </c>
      <c r="I360" s="13">
        <f t="shared" si="26"/>
        <v>267.69884503999998</v>
      </c>
      <c r="J360" s="126"/>
      <c r="K360" s="127"/>
      <c r="L360" s="127"/>
      <c r="M360" s="127"/>
      <c r="N360" s="127"/>
      <c r="O360" s="127"/>
      <c r="P360" s="127"/>
    </row>
    <row r="361" spans="1:16" ht="75" x14ac:dyDescent="0.25">
      <c r="A361" s="164">
        <v>342</v>
      </c>
      <c r="B361" s="207"/>
      <c r="C361" s="12" t="s">
        <v>72</v>
      </c>
      <c r="D361" s="163" t="s">
        <v>73</v>
      </c>
      <c r="E361" s="112" t="s">
        <v>8</v>
      </c>
      <c r="F361" s="20">
        <f>1.2*2+0.8*2.1</f>
        <v>4.08</v>
      </c>
      <c r="G361" s="13">
        <v>22.57</v>
      </c>
      <c r="H361" s="13">
        <f t="shared" si="25"/>
        <v>27.641479</v>
      </c>
      <c r="I361" s="13">
        <f t="shared" si="26"/>
        <v>112.77723432000001</v>
      </c>
      <c r="J361" s="126"/>
      <c r="K361" s="127"/>
      <c r="L361" s="127"/>
      <c r="M361" s="127"/>
      <c r="N361" s="127"/>
      <c r="O361" s="127"/>
      <c r="P361" s="127"/>
    </row>
    <row r="362" spans="1:16" ht="60" x14ac:dyDescent="0.25">
      <c r="A362" s="164">
        <v>343</v>
      </c>
      <c r="B362" s="207"/>
      <c r="C362" s="160" t="s">
        <v>74</v>
      </c>
      <c r="D362" s="163" t="s">
        <v>75</v>
      </c>
      <c r="E362" s="112" t="s">
        <v>8</v>
      </c>
      <c r="F362" s="20">
        <v>25</v>
      </c>
      <c r="G362" s="13">
        <v>14.14</v>
      </c>
      <c r="H362" s="13">
        <f t="shared" si="25"/>
        <v>17.317258000000002</v>
      </c>
      <c r="I362" s="13">
        <f t="shared" si="26"/>
        <v>432.93145000000004</v>
      </c>
      <c r="J362" s="126"/>
      <c r="K362" s="127"/>
      <c r="L362" s="127"/>
      <c r="M362" s="127"/>
      <c r="N362" s="127"/>
      <c r="O362" s="127"/>
      <c r="P362" s="127"/>
    </row>
    <row r="363" spans="1:16" ht="60" x14ac:dyDescent="0.25">
      <c r="A363" s="164">
        <v>344</v>
      </c>
      <c r="B363" s="207"/>
      <c r="C363" s="113" t="s">
        <v>76</v>
      </c>
      <c r="D363" s="42" t="s">
        <v>77</v>
      </c>
      <c r="E363" s="112" t="s">
        <v>8</v>
      </c>
      <c r="F363" s="20">
        <v>25</v>
      </c>
      <c r="G363" s="13">
        <v>5.28</v>
      </c>
      <c r="H363" s="13">
        <f t="shared" si="25"/>
        <v>6.4664160000000006</v>
      </c>
      <c r="I363" s="13">
        <f t="shared" si="26"/>
        <v>161.66040000000001</v>
      </c>
      <c r="J363" s="126"/>
      <c r="K363" s="127"/>
      <c r="L363" s="127"/>
      <c r="M363" s="127"/>
      <c r="N363" s="127"/>
      <c r="O363" s="127"/>
      <c r="P363" s="127"/>
    </row>
    <row r="364" spans="1:16" ht="45" x14ac:dyDescent="0.25">
      <c r="A364" s="164">
        <v>345</v>
      </c>
      <c r="B364" s="207" t="s">
        <v>126</v>
      </c>
      <c r="C364" s="12" t="s">
        <v>68</v>
      </c>
      <c r="D364" s="25" t="s">
        <v>69</v>
      </c>
      <c r="E364" s="112" t="s">
        <v>8</v>
      </c>
      <c r="F364" s="20">
        <f>21.4*2.8-F366</f>
        <v>53.44</v>
      </c>
      <c r="G364" s="13">
        <v>8.64</v>
      </c>
      <c r="H364" s="13">
        <f t="shared" si="25"/>
        <v>10.581408000000001</v>
      </c>
      <c r="I364" s="13">
        <f t="shared" si="26"/>
        <v>565.47044352</v>
      </c>
      <c r="J364" s="126"/>
      <c r="K364" s="127"/>
      <c r="L364" s="127"/>
      <c r="M364" s="127"/>
      <c r="N364" s="127"/>
      <c r="O364" s="127"/>
      <c r="P364" s="127"/>
    </row>
    <row r="365" spans="1:16" ht="60" x14ac:dyDescent="0.25">
      <c r="A365" s="164">
        <v>346</v>
      </c>
      <c r="B365" s="207"/>
      <c r="C365" s="12" t="s">
        <v>70</v>
      </c>
      <c r="D365" s="25" t="s">
        <v>71</v>
      </c>
      <c r="E365" s="112" t="s">
        <v>8</v>
      </c>
      <c r="F365" s="20">
        <f>F364</f>
        <v>53.44</v>
      </c>
      <c r="G365" s="13">
        <v>4.21</v>
      </c>
      <c r="H365" s="13">
        <f t="shared" si="25"/>
        <v>5.1559869999999997</v>
      </c>
      <c r="I365" s="13">
        <f t="shared" si="26"/>
        <v>275.53594527999996</v>
      </c>
      <c r="J365" s="126"/>
      <c r="K365" s="127"/>
      <c r="L365" s="127"/>
      <c r="M365" s="127"/>
      <c r="N365" s="127"/>
      <c r="O365" s="127"/>
      <c r="P365" s="127"/>
    </row>
    <row r="366" spans="1:16" ht="75" x14ac:dyDescent="0.25">
      <c r="A366" s="164">
        <v>347</v>
      </c>
      <c r="B366" s="207"/>
      <c r="C366" s="12" t="s">
        <v>72</v>
      </c>
      <c r="D366" s="163" t="s">
        <v>73</v>
      </c>
      <c r="E366" s="112" t="s">
        <v>8</v>
      </c>
      <c r="F366" s="20">
        <f>2*1.2*2+0.8*2.1</f>
        <v>6.48</v>
      </c>
      <c r="G366" s="13">
        <v>22.57</v>
      </c>
      <c r="H366" s="13">
        <f t="shared" si="25"/>
        <v>27.641479</v>
      </c>
      <c r="I366" s="13">
        <f t="shared" si="26"/>
        <v>179.11678392000002</v>
      </c>
      <c r="J366" s="126"/>
      <c r="K366" s="127"/>
      <c r="L366" s="127"/>
      <c r="M366" s="127"/>
      <c r="N366" s="127"/>
      <c r="O366" s="127"/>
      <c r="P366" s="127"/>
    </row>
    <row r="367" spans="1:16" ht="60" x14ac:dyDescent="0.25">
      <c r="A367" s="164">
        <v>348</v>
      </c>
      <c r="B367" s="207"/>
      <c r="C367" s="160" t="s">
        <v>74</v>
      </c>
      <c r="D367" s="163" t="s">
        <v>75</v>
      </c>
      <c r="E367" s="112" t="s">
        <v>8</v>
      </c>
      <c r="F367" s="20">
        <v>28.5</v>
      </c>
      <c r="G367" s="13">
        <v>14.14</v>
      </c>
      <c r="H367" s="13">
        <f t="shared" si="25"/>
        <v>17.317258000000002</v>
      </c>
      <c r="I367" s="13">
        <f t="shared" si="26"/>
        <v>493.54185300000006</v>
      </c>
      <c r="J367" s="126"/>
      <c r="K367" s="127"/>
      <c r="L367" s="127"/>
      <c r="M367" s="127"/>
      <c r="N367" s="127"/>
      <c r="O367" s="127"/>
      <c r="P367" s="127"/>
    </row>
    <row r="368" spans="1:16" ht="60" x14ac:dyDescent="0.25">
      <c r="A368" s="164">
        <v>349</v>
      </c>
      <c r="B368" s="207"/>
      <c r="C368" s="113" t="s">
        <v>76</v>
      </c>
      <c r="D368" s="42" t="s">
        <v>77</v>
      </c>
      <c r="E368" s="112" t="s">
        <v>8</v>
      </c>
      <c r="F368" s="20">
        <v>28.5</v>
      </c>
      <c r="G368" s="13">
        <v>5.28</v>
      </c>
      <c r="H368" s="13">
        <f t="shared" si="25"/>
        <v>6.4664160000000006</v>
      </c>
      <c r="I368" s="13">
        <f t="shared" si="26"/>
        <v>184.29285600000003</v>
      </c>
      <c r="J368" s="126"/>
      <c r="K368" s="127"/>
      <c r="L368" s="127"/>
      <c r="M368" s="127"/>
      <c r="N368" s="127"/>
      <c r="O368" s="127"/>
      <c r="P368" s="127"/>
    </row>
    <row r="369" spans="1:16" ht="45" x14ac:dyDescent="0.25">
      <c r="A369" s="164">
        <v>350</v>
      </c>
      <c r="B369" s="207" t="s">
        <v>127</v>
      </c>
      <c r="C369" s="12" t="s">
        <v>68</v>
      </c>
      <c r="D369" s="25" t="s">
        <v>69</v>
      </c>
      <c r="E369" s="112" t="s">
        <v>8</v>
      </c>
      <c r="F369" s="20">
        <f>23.2*2.8-F371</f>
        <v>58.47999999999999</v>
      </c>
      <c r="G369" s="13">
        <v>8.64</v>
      </c>
      <c r="H369" s="13">
        <f t="shared" si="25"/>
        <v>10.581408000000001</v>
      </c>
      <c r="I369" s="13">
        <f t="shared" si="26"/>
        <v>618.80073984000001</v>
      </c>
      <c r="J369" s="126"/>
      <c r="K369" s="127"/>
      <c r="L369" s="127"/>
      <c r="M369" s="127"/>
      <c r="N369" s="127"/>
      <c r="O369" s="127"/>
      <c r="P369" s="127"/>
    </row>
    <row r="370" spans="1:16" ht="60" x14ac:dyDescent="0.25">
      <c r="A370" s="164">
        <v>351</v>
      </c>
      <c r="B370" s="207"/>
      <c r="C370" s="12" t="s">
        <v>70</v>
      </c>
      <c r="D370" s="25" t="s">
        <v>71</v>
      </c>
      <c r="E370" s="112" t="s">
        <v>8</v>
      </c>
      <c r="F370" s="20">
        <f>F369</f>
        <v>58.47999999999999</v>
      </c>
      <c r="G370" s="13">
        <v>4.21</v>
      </c>
      <c r="H370" s="13">
        <f t="shared" si="25"/>
        <v>5.1559869999999997</v>
      </c>
      <c r="I370" s="13">
        <f t="shared" si="26"/>
        <v>301.52211975999995</v>
      </c>
      <c r="J370" s="126"/>
      <c r="K370" s="127"/>
      <c r="L370" s="127"/>
      <c r="M370" s="127"/>
      <c r="N370" s="127"/>
      <c r="O370" s="127"/>
      <c r="P370" s="127"/>
    </row>
    <row r="371" spans="1:16" ht="75" x14ac:dyDescent="0.25">
      <c r="A371" s="164">
        <v>352</v>
      </c>
      <c r="B371" s="207"/>
      <c r="C371" s="12" t="s">
        <v>72</v>
      </c>
      <c r="D371" s="163" t="s">
        <v>73</v>
      </c>
      <c r="E371" s="112" t="s">
        <v>8</v>
      </c>
      <c r="F371" s="20">
        <f>2*1.2*2+0.8*2.1</f>
        <v>6.48</v>
      </c>
      <c r="G371" s="13">
        <v>22.57</v>
      </c>
      <c r="H371" s="13">
        <f t="shared" si="25"/>
        <v>27.641479</v>
      </c>
      <c r="I371" s="13">
        <f t="shared" si="26"/>
        <v>179.11678392000002</v>
      </c>
      <c r="J371" s="126"/>
      <c r="K371" s="127"/>
      <c r="L371" s="127"/>
      <c r="M371" s="127"/>
      <c r="N371" s="127"/>
      <c r="O371" s="127"/>
      <c r="P371" s="127"/>
    </row>
    <row r="372" spans="1:16" ht="60" x14ac:dyDescent="0.25">
      <c r="A372" s="164">
        <v>353</v>
      </c>
      <c r="B372" s="207"/>
      <c r="C372" s="160" t="s">
        <v>74</v>
      </c>
      <c r="D372" s="163" t="s">
        <v>75</v>
      </c>
      <c r="E372" s="112" t="s">
        <v>8</v>
      </c>
      <c r="F372" s="20">
        <v>33</v>
      </c>
      <c r="G372" s="13">
        <v>14.14</v>
      </c>
      <c r="H372" s="13">
        <f t="shared" si="25"/>
        <v>17.317258000000002</v>
      </c>
      <c r="I372" s="13">
        <f t="shared" si="26"/>
        <v>571.46951400000012</v>
      </c>
      <c r="J372" s="126"/>
      <c r="K372" s="127"/>
      <c r="L372" s="127"/>
      <c r="M372" s="127"/>
      <c r="N372" s="127"/>
      <c r="O372" s="127"/>
      <c r="P372" s="127"/>
    </row>
    <row r="373" spans="1:16" ht="60" x14ac:dyDescent="0.25">
      <c r="A373" s="164">
        <v>354</v>
      </c>
      <c r="B373" s="207"/>
      <c r="C373" s="113" t="s">
        <v>76</v>
      </c>
      <c r="D373" s="42" t="s">
        <v>77</v>
      </c>
      <c r="E373" s="112" t="s">
        <v>8</v>
      </c>
      <c r="F373" s="20">
        <v>33</v>
      </c>
      <c r="G373" s="13">
        <v>5.28</v>
      </c>
      <c r="H373" s="13">
        <f t="shared" si="25"/>
        <v>6.4664160000000006</v>
      </c>
      <c r="I373" s="13">
        <f t="shared" si="26"/>
        <v>213.39172800000003</v>
      </c>
      <c r="J373" s="126"/>
      <c r="K373" s="127"/>
      <c r="L373" s="127"/>
      <c r="M373" s="127"/>
      <c r="N373" s="127"/>
      <c r="O373" s="127"/>
      <c r="P373" s="127"/>
    </row>
    <row r="374" spans="1:16" ht="45" x14ac:dyDescent="0.25">
      <c r="A374" s="164">
        <v>355</v>
      </c>
      <c r="B374" s="207" t="s">
        <v>128</v>
      </c>
      <c r="C374" s="12" t="s">
        <v>68</v>
      </c>
      <c r="D374" s="25" t="s">
        <v>69</v>
      </c>
      <c r="E374" s="112" t="s">
        <v>8</v>
      </c>
      <c r="F374" s="20">
        <f>15.4*2.8-F376</f>
        <v>41.44</v>
      </c>
      <c r="G374" s="13">
        <v>8.64</v>
      </c>
      <c r="H374" s="13">
        <f t="shared" si="25"/>
        <v>10.581408000000001</v>
      </c>
      <c r="I374" s="13">
        <f t="shared" si="26"/>
        <v>438.49354752000005</v>
      </c>
      <c r="J374" s="126"/>
      <c r="K374" s="127"/>
      <c r="L374" s="127"/>
      <c r="M374" s="127"/>
      <c r="N374" s="127"/>
      <c r="O374" s="127"/>
      <c r="P374" s="127"/>
    </row>
    <row r="375" spans="1:16" ht="60" x14ac:dyDescent="0.25">
      <c r="A375" s="164">
        <v>356</v>
      </c>
      <c r="B375" s="207"/>
      <c r="C375" s="12" t="s">
        <v>70</v>
      </c>
      <c r="D375" s="25" t="s">
        <v>71</v>
      </c>
      <c r="E375" s="112" t="s">
        <v>8</v>
      </c>
      <c r="F375" s="20">
        <f>F374</f>
        <v>41.44</v>
      </c>
      <c r="G375" s="13">
        <v>4.21</v>
      </c>
      <c r="H375" s="13">
        <f t="shared" si="25"/>
        <v>5.1559869999999997</v>
      </c>
      <c r="I375" s="13">
        <f t="shared" si="26"/>
        <v>213.66410127999998</v>
      </c>
      <c r="J375" s="126"/>
      <c r="K375" s="127"/>
      <c r="L375" s="127"/>
      <c r="M375" s="127"/>
      <c r="N375" s="127"/>
      <c r="O375" s="127"/>
      <c r="P375" s="127"/>
    </row>
    <row r="376" spans="1:16" ht="75" x14ac:dyDescent="0.25">
      <c r="A376" s="164">
        <v>357</v>
      </c>
      <c r="B376" s="207"/>
      <c r="C376" s="12" t="s">
        <v>72</v>
      </c>
      <c r="D376" s="163" t="s">
        <v>73</v>
      </c>
      <c r="E376" s="112" t="s">
        <v>8</v>
      </c>
      <c r="F376" s="20">
        <f>0.8*2.1</f>
        <v>1.6800000000000002</v>
      </c>
      <c r="G376" s="13">
        <v>22.57</v>
      </c>
      <c r="H376" s="13">
        <f t="shared" si="25"/>
        <v>27.641479</v>
      </c>
      <c r="I376" s="13">
        <f t="shared" si="26"/>
        <v>46.437684720000007</v>
      </c>
      <c r="J376" s="126"/>
      <c r="K376" s="127"/>
      <c r="L376" s="127"/>
      <c r="M376" s="127"/>
      <c r="N376" s="127"/>
      <c r="O376" s="127"/>
      <c r="P376" s="127"/>
    </row>
    <row r="377" spans="1:16" ht="60" x14ac:dyDescent="0.25">
      <c r="A377" s="164">
        <v>358</v>
      </c>
      <c r="B377" s="207"/>
      <c r="C377" s="160" t="s">
        <v>74</v>
      </c>
      <c r="D377" s="163" t="s">
        <v>75</v>
      </c>
      <c r="E377" s="112" t="s">
        <v>8</v>
      </c>
      <c r="F377" s="20">
        <v>12.86</v>
      </c>
      <c r="G377" s="13">
        <v>14.14</v>
      </c>
      <c r="H377" s="13">
        <f t="shared" si="25"/>
        <v>17.317258000000002</v>
      </c>
      <c r="I377" s="13">
        <f t="shared" si="26"/>
        <v>222.69993788000002</v>
      </c>
      <c r="J377" s="126"/>
      <c r="K377" s="127"/>
      <c r="L377" s="127"/>
      <c r="M377" s="127"/>
      <c r="N377" s="127"/>
      <c r="O377" s="127"/>
      <c r="P377" s="127"/>
    </row>
    <row r="378" spans="1:16" ht="60" x14ac:dyDescent="0.25">
      <c r="A378" s="164">
        <v>359</v>
      </c>
      <c r="B378" s="207"/>
      <c r="C378" s="113" t="s">
        <v>76</v>
      </c>
      <c r="D378" s="42" t="s">
        <v>77</v>
      </c>
      <c r="E378" s="112" t="s">
        <v>8</v>
      </c>
      <c r="F378" s="20">
        <v>12.86</v>
      </c>
      <c r="G378" s="13">
        <v>5.28</v>
      </c>
      <c r="H378" s="13">
        <f t="shared" si="25"/>
        <v>6.4664160000000006</v>
      </c>
      <c r="I378" s="13">
        <f t="shared" si="26"/>
        <v>83.158109760000002</v>
      </c>
      <c r="J378" s="126"/>
      <c r="K378" s="127"/>
      <c r="L378" s="127"/>
      <c r="M378" s="127"/>
      <c r="N378" s="127"/>
      <c r="O378" s="127"/>
      <c r="P378" s="127"/>
    </row>
    <row r="379" spans="1:16" ht="45" x14ac:dyDescent="0.25">
      <c r="A379" s="164">
        <v>360</v>
      </c>
      <c r="B379" s="207" t="s">
        <v>129</v>
      </c>
      <c r="C379" s="12" t="s">
        <v>68</v>
      </c>
      <c r="D379" s="25" t="s">
        <v>69</v>
      </c>
      <c r="E379" s="112" t="s">
        <v>8</v>
      </c>
      <c r="F379" s="20">
        <f>10.6*2.8-F381</f>
        <v>27.999999999999996</v>
      </c>
      <c r="G379" s="13">
        <v>8.64</v>
      </c>
      <c r="H379" s="13">
        <f t="shared" si="25"/>
        <v>10.581408000000001</v>
      </c>
      <c r="I379" s="13">
        <f t="shared" si="26"/>
        <v>296.27942400000001</v>
      </c>
      <c r="J379" s="126"/>
      <c r="K379" s="127"/>
      <c r="L379" s="127"/>
      <c r="M379" s="127"/>
      <c r="N379" s="127"/>
      <c r="O379" s="127"/>
      <c r="P379" s="127"/>
    </row>
    <row r="380" spans="1:16" ht="60" x14ac:dyDescent="0.25">
      <c r="A380" s="164">
        <v>361</v>
      </c>
      <c r="B380" s="207"/>
      <c r="C380" s="12" t="s">
        <v>70</v>
      </c>
      <c r="D380" s="25" t="s">
        <v>71</v>
      </c>
      <c r="E380" s="112" t="s">
        <v>8</v>
      </c>
      <c r="F380" s="20">
        <f>F379</f>
        <v>27.999999999999996</v>
      </c>
      <c r="G380" s="13">
        <v>4.21</v>
      </c>
      <c r="H380" s="13">
        <f t="shared" si="25"/>
        <v>5.1559869999999997</v>
      </c>
      <c r="I380" s="13">
        <f t="shared" si="26"/>
        <v>144.36763599999998</v>
      </c>
      <c r="J380" s="126"/>
      <c r="K380" s="127"/>
      <c r="L380" s="127"/>
      <c r="M380" s="127"/>
      <c r="N380" s="127"/>
      <c r="O380" s="127"/>
      <c r="P380" s="127"/>
    </row>
    <row r="381" spans="1:16" ht="75" x14ac:dyDescent="0.25">
      <c r="A381" s="164">
        <v>362</v>
      </c>
      <c r="B381" s="207"/>
      <c r="C381" s="12" t="s">
        <v>72</v>
      </c>
      <c r="D381" s="163" t="s">
        <v>73</v>
      </c>
      <c r="E381" s="112" t="s">
        <v>8</v>
      </c>
      <c r="F381" s="20">
        <f>0.8*2.1</f>
        <v>1.6800000000000002</v>
      </c>
      <c r="G381" s="13">
        <v>22.57</v>
      </c>
      <c r="H381" s="13">
        <f t="shared" si="25"/>
        <v>27.641479</v>
      </c>
      <c r="I381" s="13">
        <f t="shared" si="26"/>
        <v>46.437684720000007</v>
      </c>
      <c r="J381" s="126"/>
      <c r="K381" s="127"/>
      <c r="L381" s="127"/>
      <c r="M381" s="127"/>
      <c r="N381" s="127"/>
      <c r="O381" s="127"/>
      <c r="P381" s="127"/>
    </row>
    <row r="382" spans="1:16" ht="60" x14ac:dyDescent="0.25">
      <c r="A382" s="164">
        <v>363</v>
      </c>
      <c r="B382" s="207"/>
      <c r="C382" s="160" t="s">
        <v>74</v>
      </c>
      <c r="D382" s="163" t="s">
        <v>75</v>
      </c>
      <c r="E382" s="112" t="s">
        <v>8</v>
      </c>
      <c r="F382" s="20">
        <v>6.77</v>
      </c>
      <c r="G382" s="13">
        <v>14.14</v>
      </c>
      <c r="H382" s="13">
        <f t="shared" si="25"/>
        <v>17.317258000000002</v>
      </c>
      <c r="I382" s="13">
        <f t="shared" si="26"/>
        <v>117.23783666000001</v>
      </c>
      <c r="J382" s="126"/>
      <c r="K382" s="127"/>
      <c r="L382" s="127"/>
      <c r="M382" s="127"/>
      <c r="N382" s="127"/>
      <c r="O382" s="127"/>
      <c r="P382" s="127"/>
    </row>
    <row r="383" spans="1:16" ht="60" x14ac:dyDescent="0.25">
      <c r="A383" s="164">
        <v>364</v>
      </c>
      <c r="B383" s="207"/>
      <c r="C383" s="113" t="s">
        <v>76</v>
      </c>
      <c r="D383" s="42" t="s">
        <v>77</v>
      </c>
      <c r="E383" s="112" t="s">
        <v>8</v>
      </c>
      <c r="F383" s="20">
        <v>6.77</v>
      </c>
      <c r="G383" s="13">
        <v>5.28</v>
      </c>
      <c r="H383" s="13">
        <f t="shared" si="25"/>
        <v>6.4664160000000006</v>
      </c>
      <c r="I383" s="13">
        <f t="shared" si="26"/>
        <v>43.777636319999999</v>
      </c>
      <c r="J383" s="126"/>
      <c r="K383" s="127"/>
      <c r="L383" s="127"/>
      <c r="M383" s="127"/>
      <c r="N383" s="127"/>
      <c r="O383" s="127"/>
      <c r="P383" s="127"/>
    </row>
    <row r="384" spans="1:16" ht="75" x14ac:dyDescent="0.25">
      <c r="A384" s="164">
        <v>365</v>
      </c>
      <c r="B384" s="207" t="s">
        <v>119</v>
      </c>
      <c r="C384" s="12" t="s">
        <v>72</v>
      </c>
      <c r="D384" s="163" t="s">
        <v>73</v>
      </c>
      <c r="E384" s="112" t="s">
        <v>8</v>
      </c>
      <c r="F384" s="20">
        <f>0.6*0.4</f>
        <v>0.24</v>
      </c>
      <c r="G384" s="13">
        <v>22.57</v>
      </c>
      <c r="H384" s="13">
        <f t="shared" si="25"/>
        <v>27.641479</v>
      </c>
      <c r="I384" s="13">
        <f t="shared" si="26"/>
        <v>6.6339549599999996</v>
      </c>
      <c r="J384" s="126"/>
      <c r="K384" s="127"/>
      <c r="L384" s="127"/>
      <c r="M384" s="127"/>
      <c r="N384" s="127"/>
      <c r="O384" s="127"/>
      <c r="P384" s="127"/>
    </row>
    <row r="385" spans="1:16" ht="60" x14ac:dyDescent="0.25">
      <c r="A385" s="164">
        <v>366</v>
      </c>
      <c r="B385" s="207"/>
      <c r="C385" s="160" t="s">
        <v>74</v>
      </c>
      <c r="D385" s="163" t="s">
        <v>75</v>
      </c>
      <c r="E385" s="112" t="s">
        <v>8</v>
      </c>
      <c r="F385" s="20">
        <v>2.57</v>
      </c>
      <c r="G385" s="13">
        <v>14.14</v>
      </c>
      <c r="H385" s="13">
        <f t="shared" si="25"/>
        <v>17.317258000000002</v>
      </c>
      <c r="I385" s="13">
        <f t="shared" si="26"/>
        <v>44.505353060000004</v>
      </c>
      <c r="J385" s="126"/>
      <c r="K385" s="127"/>
      <c r="L385" s="127"/>
      <c r="M385" s="127"/>
      <c r="N385" s="127"/>
      <c r="O385" s="127"/>
      <c r="P385" s="127"/>
    </row>
    <row r="386" spans="1:16" ht="60" x14ac:dyDescent="0.25">
      <c r="A386" s="164">
        <v>367</v>
      </c>
      <c r="B386" s="207"/>
      <c r="C386" s="113" t="s">
        <v>76</v>
      </c>
      <c r="D386" s="42" t="s">
        <v>77</v>
      </c>
      <c r="E386" s="112" t="s">
        <v>8</v>
      </c>
      <c r="F386" s="20">
        <v>2.57</v>
      </c>
      <c r="G386" s="13">
        <v>5.28</v>
      </c>
      <c r="H386" s="13">
        <f t="shared" si="25"/>
        <v>6.4664160000000006</v>
      </c>
      <c r="I386" s="13">
        <f t="shared" si="26"/>
        <v>16.618689119999999</v>
      </c>
      <c r="J386" s="126"/>
      <c r="K386" s="127"/>
      <c r="L386" s="127"/>
      <c r="M386" s="127"/>
      <c r="N386" s="127"/>
      <c r="O386" s="127"/>
      <c r="P386" s="127"/>
    </row>
    <row r="387" spans="1:16" ht="75" x14ac:dyDescent="0.25">
      <c r="A387" s="164">
        <v>368</v>
      </c>
      <c r="B387" s="207" t="s">
        <v>120</v>
      </c>
      <c r="C387" s="12" t="s">
        <v>72</v>
      </c>
      <c r="D387" s="163" t="s">
        <v>73</v>
      </c>
      <c r="E387" s="112" t="s">
        <v>8</v>
      </c>
      <c r="F387" s="20">
        <f>0.8*2.1</f>
        <v>1.6800000000000002</v>
      </c>
      <c r="G387" s="13">
        <v>22.57</v>
      </c>
      <c r="H387" s="13">
        <f t="shared" si="25"/>
        <v>27.641479</v>
      </c>
      <c r="I387" s="13">
        <f t="shared" si="26"/>
        <v>46.437684720000007</v>
      </c>
      <c r="J387" s="126"/>
      <c r="K387" s="127"/>
      <c r="L387" s="127"/>
      <c r="M387" s="127"/>
      <c r="N387" s="127"/>
      <c r="O387" s="127"/>
      <c r="P387" s="127"/>
    </row>
    <row r="388" spans="1:16" ht="60" x14ac:dyDescent="0.25">
      <c r="A388" s="164">
        <v>369</v>
      </c>
      <c r="B388" s="207"/>
      <c r="C388" s="160" t="s">
        <v>74</v>
      </c>
      <c r="D388" s="163" t="s">
        <v>75</v>
      </c>
      <c r="E388" s="112" t="s">
        <v>8</v>
      </c>
      <c r="F388" s="20">
        <f>7.7</f>
        <v>7.7</v>
      </c>
      <c r="G388" s="13">
        <v>14.14</v>
      </c>
      <c r="H388" s="13">
        <f t="shared" si="25"/>
        <v>17.317258000000002</v>
      </c>
      <c r="I388" s="13">
        <f t="shared" si="26"/>
        <v>133.34288660000001</v>
      </c>
      <c r="J388" s="126"/>
      <c r="K388" s="127"/>
      <c r="L388" s="127"/>
      <c r="M388" s="127"/>
      <c r="N388" s="127"/>
      <c r="O388" s="127"/>
      <c r="P388" s="127"/>
    </row>
    <row r="389" spans="1:16" ht="60" x14ac:dyDescent="0.25">
      <c r="A389" s="164">
        <v>370</v>
      </c>
      <c r="B389" s="207"/>
      <c r="C389" s="113" t="s">
        <v>76</v>
      </c>
      <c r="D389" s="42" t="s">
        <v>77</v>
      </c>
      <c r="E389" s="112" t="s">
        <v>8</v>
      </c>
      <c r="F389" s="20">
        <v>7.7</v>
      </c>
      <c r="G389" s="13">
        <v>5.28</v>
      </c>
      <c r="H389" s="13">
        <f t="shared" si="25"/>
        <v>6.4664160000000006</v>
      </c>
      <c r="I389" s="13">
        <f t="shared" si="26"/>
        <v>49.791403200000005</v>
      </c>
      <c r="J389" s="126"/>
      <c r="K389" s="127"/>
      <c r="L389" s="127"/>
      <c r="M389" s="127"/>
      <c r="N389" s="127"/>
      <c r="O389" s="127"/>
      <c r="P389" s="127"/>
    </row>
    <row r="390" spans="1:16" ht="75" x14ac:dyDescent="0.25">
      <c r="A390" s="164">
        <v>371</v>
      </c>
      <c r="B390" s="207" t="s">
        <v>123</v>
      </c>
      <c r="C390" s="12" t="s">
        <v>72</v>
      </c>
      <c r="D390" s="163" t="s">
        <v>73</v>
      </c>
      <c r="E390" s="112" t="s">
        <v>8</v>
      </c>
      <c r="F390" s="20">
        <f>2*0.8*2.1+1*1</f>
        <v>4.3600000000000003</v>
      </c>
      <c r="G390" s="13">
        <v>22.57</v>
      </c>
      <c r="H390" s="13">
        <f t="shared" si="25"/>
        <v>27.641479</v>
      </c>
      <c r="I390" s="13">
        <f t="shared" si="26"/>
        <v>120.51684844</v>
      </c>
      <c r="J390" s="126"/>
      <c r="K390" s="127"/>
      <c r="L390" s="127"/>
      <c r="M390" s="127"/>
      <c r="N390" s="127"/>
      <c r="O390" s="127"/>
      <c r="P390" s="127"/>
    </row>
    <row r="391" spans="1:16" ht="60" x14ac:dyDescent="0.25">
      <c r="A391" s="164">
        <v>372</v>
      </c>
      <c r="B391" s="207"/>
      <c r="C391" s="160" t="s">
        <v>74</v>
      </c>
      <c r="D391" s="163" t="s">
        <v>75</v>
      </c>
      <c r="E391" s="112" t="s">
        <v>8</v>
      </c>
      <c r="F391" s="20">
        <v>17.21</v>
      </c>
      <c r="G391" s="13">
        <v>14.14</v>
      </c>
      <c r="H391" s="13">
        <f t="shared" si="25"/>
        <v>17.317258000000002</v>
      </c>
      <c r="I391" s="13">
        <f t="shared" si="26"/>
        <v>298.03001018000003</v>
      </c>
      <c r="J391" s="126"/>
      <c r="K391" s="127"/>
      <c r="L391" s="127"/>
      <c r="M391" s="127"/>
      <c r="N391" s="127"/>
      <c r="O391" s="127"/>
      <c r="P391" s="127"/>
    </row>
    <row r="392" spans="1:16" ht="60" x14ac:dyDescent="0.25">
      <c r="A392" s="164">
        <v>373</v>
      </c>
      <c r="B392" s="207"/>
      <c r="C392" s="113" t="s">
        <v>76</v>
      </c>
      <c r="D392" s="42" t="s">
        <v>77</v>
      </c>
      <c r="E392" s="112" t="s">
        <v>8</v>
      </c>
      <c r="F392" s="20">
        <v>17.21</v>
      </c>
      <c r="G392" s="13">
        <v>5.28</v>
      </c>
      <c r="H392" s="13">
        <f t="shared" si="25"/>
        <v>6.4664160000000006</v>
      </c>
      <c r="I392" s="13">
        <f t="shared" si="26"/>
        <v>111.28701936000002</v>
      </c>
      <c r="J392" s="126"/>
      <c r="K392" s="127"/>
      <c r="L392" s="127"/>
      <c r="M392" s="127"/>
      <c r="N392" s="127"/>
      <c r="O392" s="127"/>
      <c r="P392" s="127"/>
    </row>
    <row r="393" spans="1:16" ht="45" x14ac:dyDescent="0.25">
      <c r="A393" s="164">
        <v>374</v>
      </c>
      <c r="B393" s="207" t="s">
        <v>121</v>
      </c>
      <c r="C393" s="12" t="s">
        <v>68</v>
      </c>
      <c r="D393" s="25" t="s">
        <v>69</v>
      </c>
      <c r="E393" s="112" t="s">
        <v>8</v>
      </c>
      <c r="F393" s="20">
        <f>11.15*2.8-F395</f>
        <v>28.099999999999998</v>
      </c>
      <c r="G393" s="13">
        <v>8.64</v>
      </c>
      <c r="H393" s="13">
        <f>G393+G393*B$18</f>
        <v>10.581408000000001</v>
      </c>
      <c r="I393" s="13">
        <f>H393*F393</f>
        <v>297.3375648</v>
      </c>
      <c r="J393" s="126"/>
      <c r="K393" s="127"/>
      <c r="L393" s="127"/>
      <c r="M393" s="127"/>
      <c r="N393" s="127"/>
      <c r="O393" s="127"/>
      <c r="P393" s="127"/>
    </row>
    <row r="394" spans="1:16" ht="60" x14ac:dyDescent="0.25">
      <c r="A394" s="164">
        <v>375</v>
      </c>
      <c r="B394" s="207"/>
      <c r="C394" s="12" t="s">
        <v>70</v>
      </c>
      <c r="D394" s="25" t="s">
        <v>71</v>
      </c>
      <c r="E394" s="112" t="s">
        <v>8</v>
      </c>
      <c r="F394" s="20">
        <f>F393</f>
        <v>28.099999999999998</v>
      </c>
      <c r="G394" s="13">
        <v>4.21</v>
      </c>
      <c r="H394" s="13">
        <f>G394+G394*B$18</f>
        <v>5.1559869999999997</v>
      </c>
      <c r="I394" s="13">
        <f>H394*F394</f>
        <v>144.88323469999997</v>
      </c>
      <c r="J394" s="126"/>
      <c r="K394" s="127"/>
      <c r="L394" s="127"/>
      <c r="M394" s="127"/>
      <c r="N394" s="127"/>
      <c r="O394" s="127"/>
      <c r="P394" s="127"/>
    </row>
    <row r="395" spans="1:16" ht="75" x14ac:dyDescent="0.25">
      <c r="A395" s="164">
        <v>376</v>
      </c>
      <c r="B395" s="207"/>
      <c r="C395" s="12" t="s">
        <v>72</v>
      </c>
      <c r="D395" s="163" t="s">
        <v>73</v>
      </c>
      <c r="E395" s="112" t="s">
        <v>8</v>
      </c>
      <c r="F395" s="20">
        <f>0.8*2.1+1.2*1.2</f>
        <v>3.12</v>
      </c>
      <c r="G395" s="13">
        <v>22.57</v>
      </c>
      <c r="H395" s="13">
        <f>G395+G395*B$18</f>
        <v>27.641479</v>
      </c>
      <c r="I395" s="13">
        <f>H395*F395</f>
        <v>86.241414480000003</v>
      </c>
      <c r="J395" s="126"/>
      <c r="K395" s="127"/>
      <c r="L395" s="127"/>
      <c r="M395" s="127"/>
      <c r="N395" s="127"/>
      <c r="O395" s="127"/>
      <c r="P395" s="127"/>
    </row>
    <row r="396" spans="1:16" ht="60" x14ac:dyDescent="0.25">
      <c r="A396" s="164">
        <v>377</v>
      </c>
      <c r="B396" s="207"/>
      <c r="C396" s="160" t="s">
        <v>74</v>
      </c>
      <c r="D396" s="163" t="s">
        <v>75</v>
      </c>
      <c r="E396" s="112" t="s">
        <v>8</v>
      </c>
      <c r="F396" s="20">
        <v>7.04</v>
      </c>
      <c r="G396" s="13">
        <v>14.14</v>
      </c>
      <c r="H396" s="13">
        <f>G396+G396*B$18</f>
        <v>17.317258000000002</v>
      </c>
      <c r="I396" s="13">
        <f>H396*F396</f>
        <v>121.91349632000002</v>
      </c>
      <c r="J396" s="126"/>
      <c r="K396" s="127"/>
      <c r="L396" s="127"/>
      <c r="M396" s="127"/>
      <c r="N396" s="127"/>
      <c r="O396" s="127"/>
      <c r="P396" s="127"/>
    </row>
    <row r="397" spans="1:16" ht="60" x14ac:dyDescent="0.25">
      <c r="A397" s="164">
        <v>378</v>
      </c>
      <c r="B397" s="207"/>
      <c r="C397" s="113" t="s">
        <v>76</v>
      </c>
      <c r="D397" s="42" t="s">
        <v>77</v>
      </c>
      <c r="E397" s="112" t="s">
        <v>8</v>
      </c>
      <c r="F397" s="20">
        <v>7.04</v>
      </c>
      <c r="G397" s="13">
        <v>5.28</v>
      </c>
      <c r="H397" s="13">
        <f>G397+G397*B$18</f>
        <v>6.4664160000000006</v>
      </c>
      <c r="I397" s="13">
        <f>H397*F397</f>
        <v>45.523568640000008</v>
      </c>
      <c r="J397" s="126"/>
      <c r="K397" s="127"/>
      <c r="L397" s="127"/>
      <c r="M397" s="127"/>
      <c r="N397" s="127"/>
      <c r="O397" s="127"/>
      <c r="P397" s="127"/>
    </row>
    <row r="398" spans="1:16" ht="60" x14ac:dyDescent="0.25">
      <c r="A398" s="164">
        <v>379</v>
      </c>
      <c r="B398" s="207" t="s">
        <v>125</v>
      </c>
      <c r="C398" s="160" t="s">
        <v>74</v>
      </c>
      <c r="D398" s="163" t="s">
        <v>75</v>
      </c>
      <c r="E398" s="112" t="s">
        <v>8</v>
      </c>
      <c r="F398" s="20">
        <v>162.33000000000001</v>
      </c>
      <c r="G398" s="13">
        <v>14.14</v>
      </c>
      <c r="H398" s="13">
        <f t="shared" ref="H398:H404" si="27">G398+G398*B$18</f>
        <v>17.317258000000002</v>
      </c>
      <c r="I398" s="13">
        <f t="shared" ref="I398:I404" si="28">H398*F398</f>
        <v>2811.1104911400007</v>
      </c>
      <c r="J398" s="126"/>
      <c r="K398" s="127"/>
      <c r="L398" s="127"/>
      <c r="M398" s="127"/>
      <c r="N398" s="127"/>
      <c r="O398" s="127"/>
      <c r="P398" s="127"/>
    </row>
    <row r="399" spans="1:16" ht="60" x14ac:dyDescent="0.25">
      <c r="A399" s="164">
        <v>380</v>
      </c>
      <c r="B399" s="207"/>
      <c r="C399" s="113" t="s">
        <v>76</v>
      </c>
      <c r="D399" s="42" t="s">
        <v>77</v>
      </c>
      <c r="E399" s="112" t="s">
        <v>8</v>
      </c>
      <c r="F399" s="20">
        <v>162.33000000000001</v>
      </c>
      <c r="G399" s="13">
        <v>5.28</v>
      </c>
      <c r="H399" s="13">
        <f t="shared" si="27"/>
        <v>6.4664160000000006</v>
      </c>
      <c r="I399" s="13">
        <f t="shared" si="28"/>
        <v>1049.6933092800002</v>
      </c>
      <c r="J399" s="126"/>
      <c r="K399" s="127"/>
      <c r="L399" s="127"/>
      <c r="M399" s="127"/>
      <c r="N399" s="127"/>
      <c r="O399" s="127"/>
      <c r="P399" s="127"/>
    </row>
    <row r="400" spans="1:16" ht="45" x14ac:dyDescent="0.25">
      <c r="A400" s="164">
        <v>381</v>
      </c>
      <c r="B400" s="207"/>
      <c r="C400" s="12" t="s">
        <v>68</v>
      </c>
      <c r="D400" s="25" t="s">
        <v>69</v>
      </c>
      <c r="E400" s="112" t="s">
        <v>8</v>
      </c>
      <c r="F400" s="20">
        <f>(49.48+5.13+15.95+112.3+8.45)*3.2+(13.5*3.9)+(44*0.6)*2</f>
        <v>717.64199999999994</v>
      </c>
      <c r="G400" s="13">
        <v>8.64</v>
      </c>
      <c r="H400" s="13">
        <f t="shared" si="27"/>
        <v>10.581408000000001</v>
      </c>
      <c r="I400" s="13">
        <f t="shared" si="28"/>
        <v>7593.6627999360007</v>
      </c>
      <c r="J400" s="126"/>
      <c r="K400" s="127"/>
      <c r="L400" s="127"/>
      <c r="M400" s="127"/>
      <c r="N400" s="127"/>
      <c r="O400" s="127"/>
      <c r="P400" s="127"/>
    </row>
    <row r="401" spans="1:16" ht="60" x14ac:dyDescent="0.25">
      <c r="A401" s="164">
        <v>382</v>
      </c>
      <c r="B401" s="207"/>
      <c r="C401" s="12" t="s">
        <v>70</v>
      </c>
      <c r="D401" s="25" t="s">
        <v>71</v>
      </c>
      <c r="E401" s="112" t="s">
        <v>8</v>
      </c>
      <c r="F401" s="20">
        <f>F400</f>
        <v>717.64199999999994</v>
      </c>
      <c r="G401" s="13">
        <v>4.21</v>
      </c>
      <c r="H401" s="13">
        <f t="shared" si="27"/>
        <v>5.1559869999999997</v>
      </c>
      <c r="I401" s="13">
        <f t="shared" si="28"/>
        <v>3700.1528226539995</v>
      </c>
      <c r="J401" s="126"/>
      <c r="K401" s="127"/>
      <c r="L401" s="127"/>
      <c r="M401" s="127"/>
      <c r="N401" s="127"/>
      <c r="O401" s="127"/>
      <c r="P401" s="127"/>
    </row>
    <row r="402" spans="1:16" ht="45" x14ac:dyDescent="0.25">
      <c r="A402" s="164">
        <v>383</v>
      </c>
      <c r="B402" s="207" t="s">
        <v>124</v>
      </c>
      <c r="C402" s="12" t="s">
        <v>68</v>
      </c>
      <c r="D402" s="25" t="s">
        <v>69</v>
      </c>
      <c r="E402" s="112" t="s">
        <v>8</v>
      </c>
      <c r="F402" s="20">
        <f>(26.15+5.13)*3.2+(29.9+3.11+0.15+0.15+2.4)*1.15</f>
        <v>141.16249999999999</v>
      </c>
      <c r="G402" s="13">
        <v>8.64</v>
      </c>
      <c r="H402" s="13">
        <f t="shared" si="27"/>
        <v>10.581408000000001</v>
      </c>
      <c r="I402" s="13">
        <f t="shared" si="28"/>
        <v>1493.6980068000003</v>
      </c>
      <c r="J402" s="126"/>
      <c r="K402" s="127"/>
      <c r="L402" s="127"/>
      <c r="M402" s="127"/>
      <c r="N402" s="127"/>
      <c r="O402" s="127"/>
      <c r="P402" s="127"/>
    </row>
    <row r="403" spans="1:16" ht="60" x14ac:dyDescent="0.25">
      <c r="A403" s="164">
        <v>384</v>
      </c>
      <c r="B403" s="207"/>
      <c r="C403" s="12" t="s">
        <v>70</v>
      </c>
      <c r="D403" s="25" t="s">
        <v>71</v>
      </c>
      <c r="E403" s="112" t="s">
        <v>8</v>
      </c>
      <c r="F403" s="20">
        <f>F402</f>
        <v>141.16249999999999</v>
      </c>
      <c r="G403" s="13">
        <v>4.21</v>
      </c>
      <c r="H403" s="13">
        <f t="shared" si="27"/>
        <v>5.1559869999999997</v>
      </c>
      <c r="I403" s="13">
        <f t="shared" si="28"/>
        <v>727.83201488749989</v>
      </c>
      <c r="J403" s="126"/>
      <c r="K403" s="127"/>
      <c r="L403" s="127"/>
      <c r="M403" s="127"/>
      <c r="N403" s="127"/>
      <c r="O403" s="127"/>
      <c r="P403" s="127"/>
    </row>
    <row r="404" spans="1:16" ht="75" x14ac:dyDescent="0.25">
      <c r="A404" s="164">
        <v>385</v>
      </c>
      <c r="B404" s="207"/>
      <c r="C404" s="12" t="s">
        <v>72</v>
      </c>
      <c r="D404" s="163" t="s">
        <v>73</v>
      </c>
      <c r="E404" s="112" t="s">
        <v>8</v>
      </c>
      <c r="F404" s="20">
        <f>29.9*1.15+3.05*2.3</f>
        <v>41.4</v>
      </c>
      <c r="G404" s="13">
        <v>22.57</v>
      </c>
      <c r="H404" s="13">
        <f t="shared" si="27"/>
        <v>27.641479</v>
      </c>
      <c r="I404" s="13">
        <f t="shared" si="28"/>
        <v>1144.3572305999999</v>
      </c>
      <c r="J404" s="126"/>
      <c r="K404" s="127"/>
      <c r="L404" s="127"/>
      <c r="M404" s="127"/>
      <c r="N404" s="127"/>
      <c r="O404" s="127"/>
      <c r="P404" s="127"/>
    </row>
    <row r="405" spans="1:16" ht="37.5" customHeight="1" x14ac:dyDescent="0.25">
      <c r="A405" s="164">
        <v>386</v>
      </c>
      <c r="B405" s="208" t="s">
        <v>130</v>
      </c>
      <c r="C405" s="208"/>
      <c r="D405" s="208"/>
      <c r="E405" s="208"/>
      <c r="F405" s="208"/>
      <c r="G405" s="208"/>
      <c r="H405" s="208"/>
      <c r="I405" s="30">
        <f>SUM(I406:I478)</f>
        <v>31745.382397803754</v>
      </c>
      <c r="J405" s="233"/>
      <c r="K405" s="234"/>
      <c r="L405" s="234"/>
      <c r="M405" s="234"/>
      <c r="N405" s="234"/>
      <c r="O405" s="234"/>
      <c r="P405" s="235"/>
    </row>
    <row r="406" spans="1:16" ht="30" x14ac:dyDescent="0.25">
      <c r="A406" s="164">
        <v>387</v>
      </c>
      <c r="B406" s="112"/>
      <c r="C406" s="150" t="s">
        <v>155</v>
      </c>
      <c r="D406" s="151" t="s">
        <v>154</v>
      </c>
      <c r="E406" s="112" t="s">
        <v>8</v>
      </c>
      <c r="F406" s="112">
        <v>2.88</v>
      </c>
      <c r="G406" s="112">
        <v>312.06</v>
      </c>
      <c r="H406" s="13">
        <f t="shared" ref="H406:H469" si="29">G406+G406*B$18</f>
        <v>382.17988200000002</v>
      </c>
      <c r="I406" s="13">
        <f t="shared" ref="I406:I469" si="30">H406*F406</f>
        <v>1100.6780601600001</v>
      </c>
      <c r="J406" s="126"/>
      <c r="K406" s="127"/>
      <c r="L406" s="127"/>
      <c r="M406" s="127"/>
      <c r="N406" s="127"/>
      <c r="O406" s="127"/>
      <c r="P406" s="127"/>
    </row>
    <row r="407" spans="1:16" ht="75" x14ac:dyDescent="0.25">
      <c r="A407" s="164">
        <v>388</v>
      </c>
      <c r="B407" s="209" t="s">
        <v>104</v>
      </c>
      <c r="C407" s="112" t="s">
        <v>150</v>
      </c>
      <c r="D407" s="163" t="s">
        <v>147</v>
      </c>
      <c r="E407" s="112" t="s">
        <v>146</v>
      </c>
      <c r="F407" s="112">
        <v>4</v>
      </c>
      <c r="G407" s="112">
        <v>12</v>
      </c>
      <c r="H407" s="13">
        <f t="shared" si="29"/>
        <v>14.696400000000001</v>
      </c>
      <c r="I407" s="13">
        <f t="shared" si="30"/>
        <v>58.785600000000002</v>
      </c>
      <c r="J407" s="126"/>
      <c r="K407" s="127"/>
      <c r="L407" s="127"/>
      <c r="M407" s="127"/>
      <c r="N407" s="127"/>
      <c r="O407" s="127"/>
      <c r="P407" s="127"/>
    </row>
    <row r="408" spans="1:16" ht="45" x14ac:dyDescent="0.25">
      <c r="A408" s="164">
        <v>389</v>
      </c>
      <c r="B408" s="209"/>
      <c r="C408" s="112" t="s">
        <v>149</v>
      </c>
      <c r="D408" s="163" t="s">
        <v>148</v>
      </c>
      <c r="E408" s="112" t="s">
        <v>19</v>
      </c>
      <c r="F408" s="112">
        <v>4</v>
      </c>
      <c r="G408" s="142">
        <v>6.52</v>
      </c>
      <c r="H408" s="13">
        <f t="shared" si="29"/>
        <v>7.9850439999999994</v>
      </c>
      <c r="I408" s="13">
        <f t="shared" si="30"/>
        <v>31.940175999999997</v>
      </c>
      <c r="J408" s="126"/>
      <c r="K408" s="127"/>
      <c r="L408" s="127"/>
      <c r="M408" s="127"/>
      <c r="N408" s="127"/>
      <c r="O408" s="127"/>
      <c r="P408" s="127"/>
    </row>
    <row r="409" spans="1:16" ht="45" x14ac:dyDescent="0.25">
      <c r="A409" s="164">
        <v>390</v>
      </c>
      <c r="B409" s="207" t="s">
        <v>114</v>
      </c>
      <c r="C409" s="12" t="s">
        <v>68</v>
      </c>
      <c r="D409" s="25" t="s">
        <v>69</v>
      </c>
      <c r="E409" s="112" t="s">
        <v>8</v>
      </c>
      <c r="F409" s="20">
        <f>12.87*3-F411</f>
        <v>35.49</v>
      </c>
      <c r="G409" s="13">
        <v>8.64</v>
      </c>
      <c r="H409" s="13">
        <f t="shared" si="29"/>
        <v>10.581408000000001</v>
      </c>
      <c r="I409" s="13">
        <f t="shared" si="30"/>
        <v>375.53416992000007</v>
      </c>
      <c r="J409" s="126"/>
      <c r="K409" s="127"/>
      <c r="L409" s="127"/>
      <c r="M409" s="127"/>
      <c r="N409" s="127"/>
      <c r="O409" s="127"/>
      <c r="P409" s="127"/>
    </row>
    <row r="410" spans="1:16" ht="60" x14ac:dyDescent="0.25">
      <c r="A410" s="164">
        <v>391</v>
      </c>
      <c r="B410" s="207"/>
      <c r="C410" s="12" t="s">
        <v>70</v>
      </c>
      <c r="D410" s="25" t="s">
        <v>71</v>
      </c>
      <c r="E410" s="112" t="s">
        <v>8</v>
      </c>
      <c r="F410" s="20">
        <f>F409</f>
        <v>35.49</v>
      </c>
      <c r="G410" s="13">
        <v>4.21</v>
      </c>
      <c r="H410" s="13">
        <f t="shared" si="29"/>
        <v>5.1559869999999997</v>
      </c>
      <c r="I410" s="13">
        <f t="shared" si="30"/>
        <v>182.98597863000001</v>
      </c>
      <c r="J410" s="126"/>
      <c r="K410" s="127"/>
      <c r="L410" s="127"/>
      <c r="M410" s="127"/>
      <c r="N410" s="127"/>
      <c r="O410" s="127"/>
      <c r="P410" s="127"/>
    </row>
    <row r="411" spans="1:16" ht="75" x14ac:dyDescent="0.25">
      <c r="A411" s="164">
        <v>392</v>
      </c>
      <c r="B411" s="207"/>
      <c r="C411" s="12" t="s">
        <v>72</v>
      </c>
      <c r="D411" s="163" t="s">
        <v>73</v>
      </c>
      <c r="E411" s="112" t="s">
        <v>8</v>
      </c>
      <c r="F411" s="20">
        <f>1.2*1.2+0.8*2.1</f>
        <v>3.12</v>
      </c>
      <c r="G411" s="13">
        <v>22.57</v>
      </c>
      <c r="H411" s="13">
        <f t="shared" si="29"/>
        <v>27.641479</v>
      </c>
      <c r="I411" s="13">
        <f t="shared" si="30"/>
        <v>86.241414480000003</v>
      </c>
      <c r="J411" s="126"/>
      <c r="K411" s="127"/>
      <c r="L411" s="127"/>
      <c r="M411" s="127"/>
      <c r="N411" s="127"/>
      <c r="O411" s="127"/>
      <c r="P411" s="127"/>
    </row>
    <row r="412" spans="1:16" ht="60" x14ac:dyDescent="0.25">
      <c r="A412" s="164">
        <v>393</v>
      </c>
      <c r="B412" s="207"/>
      <c r="C412" s="160" t="s">
        <v>74</v>
      </c>
      <c r="D412" s="163" t="s">
        <v>75</v>
      </c>
      <c r="E412" s="112" t="s">
        <v>8</v>
      </c>
      <c r="F412" s="20">
        <v>10.23</v>
      </c>
      <c r="G412" s="13">
        <v>14.14</v>
      </c>
      <c r="H412" s="13">
        <f t="shared" si="29"/>
        <v>17.317258000000002</v>
      </c>
      <c r="I412" s="13">
        <f t="shared" si="30"/>
        <v>177.15554934000002</v>
      </c>
      <c r="J412" s="126"/>
      <c r="K412" s="127"/>
      <c r="L412" s="127"/>
      <c r="M412" s="127"/>
      <c r="N412" s="127"/>
      <c r="O412" s="127"/>
      <c r="P412" s="127"/>
    </row>
    <row r="413" spans="1:16" ht="60" x14ac:dyDescent="0.25">
      <c r="A413" s="164">
        <v>394</v>
      </c>
      <c r="B413" s="207"/>
      <c r="C413" s="113" t="s">
        <v>76</v>
      </c>
      <c r="D413" s="42" t="s">
        <v>77</v>
      </c>
      <c r="E413" s="112" t="s">
        <v>8</v>
      </c>
      <c r="F413" s="20">
        <v>10.23</v>
      </c>
      <c r="G413" s="13">
        <v>5.28</v>
      </c>
      <c r="H413" s="13">
        <f t="shared" si="29"/>
        <v>6.4664160000000006</v>
      </c>
      <c r="I413" s="13">
        <f t="shared" si="30"/>
        <v>66.151435680000006</v>
      </c>
      <c r="J413" s="126"/>
      <c r="K413" s="127"/>
      <c r="L413" s="127"/>
      <c r="M413" s="127"/>
      <c r="N413" s="127"/>
      <c r="O413" s="127"/>
      <c r="P413" s="127"/>
    </row>
    <row r="414" spans="1:16" ht="45" x14ac:dyDescent="0.25">
      <c r="A414" s="164">
        <v>395</v>
      </c>
      <c r="B414" s="207" t="s">
        <v>115</v>
      </c>
      <c r="C414" s="12" t="s">
        <v>68</v>
      </c>
      <c r="D414" s="25" t="s">
        <v>69</v>
      </c>
      <c r="E414" s="112" t="s">
        <v>8</v>
      </c>
      <c r="F414" s="20">
        <f>2.68*3-F416</f>
        <v>6.7800000000000011</v>
      </c>
      <c r="G414" s="13">
        <v>8.64</v>
      </c>
      <c r="H414" s="13">
        <f t="shared" si="29"/>
        <v>10.581408000000001</v>
      </c>
      <c r="I414" s="13">
        <f t="shared" si="30"/>
        <v>71.741946240000019</v>
      </c>
      <c r="J414" s="126"/>
      <c r="K414" s="127"/>
      <c r="L414" s="127"/>
      <c r="M414" s="127"/>
      <c r="N414" s="127"/>
      <c r="O414" s="127"/>
      <c r="P414" s="127"/>
    </row>
    <row r="415" spans="1:16" ht="60" x14ac:dyDescent="0.25">
      <c r="A415" s="164">
        <v>396</v>
      </c>
      <c r="B415" s="207"/>
      <c r="C415" s="12" t="s">
        <v>70</v>
      </c>
      <c r="D415" s="25" t="s">
        <v>71</v>
      </c>
      <c r="E415" s="112" t="s">
        <v>8</v>
      </c>
      <c r="F415" s="20">
        <f>F414</f>
        <v>6.7800000000000011</v>
      </c>
      <c r="G415" s="13">
        <v>4.21</v>
      </c>
      <c r="H415" s="13">
        <f t="shared" si="29"/>
        <v>5.1559869999999997</v>
      </c>
      <c r="I415" s="13">
        <f t="shared" si="30"/>
        <v>34.957591860000001</v>
      </c>
      <c r="J415" s="126"/>
      <c r="K415" s="127"/>
      <c r="L415" s="127"/>
      <c r="M415" s="127"/>
      <c r="N415" s="127"/>
      <c r="O415" s="127"/>
      <c r="P415" s="127"/>
    </row>
    <row r="416" spans="1:16" ht="75" x14ac:dyDescent="0.25">
      <c r="A416" s="164">
        <v>397</v>
      </c>
      <c r="B416" s="207"/>
      <c r="C416" s="12" t="s">
        <v>72</v>
      </c>
      <c r="D416" s="163" t="s">
        <v>73</v>
      </c>
      <c r="E416" s="112" t="s">
        <v>8</v>
      </c>
      <c r="F416" s="20">
        <f>0.6*2.1</f>
        <v>1.26</v>
      </c>
      <c r="G416" s="13">
        <v>22.57</v>
      </c>
      <c r="H416" s="13">
        <f t="shared" si="29"/>
        <v>27.641479</v>
      </c>
      <c r="I416" s="13">
        <f t="shared" si="30"/>
        <v>34.828263540000002</v>
      </c>
      <c r="J416" s="126"/>
      <c r="K416" s="127"/>
      <c r="L416" s="127"/>
      <c r="M416" s="127"/>
      <c r="N416" s="127"/>
      <c r="O416" s="127"/>
      <c r="P416" s="127"/>
    </row>
    <row r="417" spans="1:16" ht="60" x14ac:dyDescent="0.25">
      <c r="A417" s="164">
        <v>398</v>
      </c>
      <c r="B417" s="207"/>
      <c r="C417" s="160" t="s">
        <v>74</v>
      </c>
      <c r="D417" s="163" t="s">
        <v>75</v>
      </c>
      <c r="E417" s="112" t="s">
        <v>8</v>
      </c>
      <c r="F417" s="20">
        <v>2.64</v>
      </c>
      <c r="G417" s="13">
        <v>14.14</v>
      </c>
      <c r="H417" s="13">
        <f t="shared" si="29"/>
        <v>17.317258000000002</v>
      </c>
      <c r="I417" s="13">
        <f t="shared" si="30"/>
        <v>45.717561120000006</v>
      </c>
      <c r="J417" s="126"/>
      <c r="K417" s="127"/>
      <c r="L417" s="127"/>
      <c r="M417" s="127"/>
      <c r="N417" s="127"/>
      <c r="O417" s="127"/>
      <c r="P417" s="127"/>
    </row>
    <row r="418" spans="1:16" ht="60" x14ac:dyDescent="0.25">
      <c r="A418" s="164">
        <v>399</v>
      </c>
      <c r="B418" s="207"/>
      <c r="C418" s="113" t="s">
        <v>76</v>
      </c>
      <c r="D418" s="42" t="s">
        <v>77</v>
      </c>
      <c r="E418" s="112" t="s">
        <v>8</v>
      </c>
      <c r="F418" s="20">
        <v>2.64</v>
      </c>
      <c r="G418" s="13">
        <v>5.28</v>
      </c>
      <c r="H418" s="13">
        <f t="shared" si="29"/>
        <v>6.4664160000000006</v>
      </c>
      <c r="I418" s="13">
        <f t="shared" si="30"/>
        <v>17.071338240000003</v>
      </c>
      <c r="J418" s="126"/>
      <c r="K418" s="127"/>
      <c r="L418" s="127"/>
      <c r="M418" s="127"/>
      <c r="N418" s="127"/>
      <c r="O418" s="127"/>
      <c r="P418" s="127"/>
    </row>
    <row r="419" spans="1:16" ht="45" x14ac:dyDescent="0.25">
      <c r="A419" s="164">
        <v>400</v>
      </c>
      <c r="B419" s="207" t="s">
        <v>103</v>
      </c>
      <c r="C419" s="12" t="s">
        <v>68</v>
      </c>
      <c r="D419" s="25" t="s">
        <v>69</v>
      </c>
      <c r="E419" s="112" t="s">
        <v>8</v>
      </c>
      <c r="F419" s="20">
        <f>17*3-F421</f>
        <v>46.92</v>
      </c>
      <c r="G419" s="13">
        <v>8.64</v>
      </c>
      <c r="H419" s="13">
        <f t="shared" si="29"/>
        <v>10.581408000000001</v>
      </c>
      <c r="I419" s="13">
        <f t="shared" si="30"/>
        <v>496.47966336000007</v>
      </c>
      <c r="J419" s="126"/>
      <c r="K419" s="127"/>
      <c r="L419" s="127"/>
      <c r="M419" s="127"/>
      <c r="N419" s="127"/>
      <c r="O419" s="127"/>
      <c r="P419" s="127"/>
    </row>
    <row r="420" spans="1:16" ht="60" x14ac:dyDescent="0.25">
      <c r="A420" s="164">
        <v>401</v>
      </c>
      <c r="B420" s="207"/>
      <c r="C420" s="12" t="s">
        <v>70</v>
      </c>
      <c r="D420" s="25" t="s">
        <v>71</v>
      </c>
      <c r="E420" s="112" t="s">
        <v>8</v>
      </c>
      <c r="F420" s="20">
        <f>F419</f>
        <v>46.92</v>
      </c>
      <c r="G420" s="13">
        <v>4.21</v>
      </c>
      <c r="H420" s="13">
        <f t="shared" si="29"/>
        <v>5.1559869999999997</v>
      </c>
      <c r="I420" s="13">
        <f t="shared" si="30"/>
        <v>241.91891003999999</v>
      </c>
      <c r="J420" s="126"/>
      <c r="K420" s="127"/>
      <c r="L420" s="127"/>
      <c r="M420" s="127"/>
      <c r="N420" s="127"/>
      <c r="O420" s="127"/>
      <c r="P420" s="127"/>
    </row>
    <row r="421" spans="1:16" ht="75" x14ac:dyDescent="0.25">
      <c r="A421" s="164">
        <v>402</v>
      </c>
      <c r="B421" s="207"/>
      <c r="C421" s="12" t="s">
        <v>72</v>
      </c>
      <c r="D421" s="163" t="s">
        <v>73</v>
      </c>
      <c r="E421" s="112" t="s">
        <v>8</v>
      </c>
      <c r="F421" s="20">
        <f>2*1.2+0.8*2.1</f>
        <v>4.08</v>
      </c>
      <c r="G421" s="13">
        <v>22.57</v>
      </c>
      <c r="H421" s="13">
        <f t="shared" si="29"/>
        <v>27.641479</v>
      </c>
      <c r="I421" s="13">
        <f t="shared" si="30"/>
        <v>112.77723432000001</v>
      </c>
      <c r="J421" s="126"/>
      <c r="K421" s="127"/>
      <c r="L421" s="127"/>
      <c r="M421" s="127"/>
      <c r="N421" s="127"/>
      <c r="O421" s="127"/>
      <c r="P421" s="127"/>
    </row>
    <row r="422" spans="1:16" ht="60" x14ac:dyDescent="0.25">
      <c r="A422" s="164">
        <v>403</v>
      </c>
      <c r="B422" s="207"/>
      <c r="C422" s="160" t="s">
        <v>74</v>
      </c>
      <c r="D422" s="163" t="s">
        <v>75</v>
      </c>
      <c r="E422" s="112" t="s">
        <v>8</v>
      </c>
      <c r="F422" s="20">
        <v>15</v>
      </c>
      <c r="G422" s="13">
        <v>14.14</v>
      </c>
      <c r="H422" s="13">
        <f t="shared" si="29"/>
        <v>17.317258000000002</v>
      </c>
      <c r="I422" s="13">
        <f t="shared" si="30"/>
        <v>259.75887000000006</v>
      </c>
      <c r="J422" s="126"/>
      <c r="K422" s="127"/>
      <c r="L422" s="127"/>
      <c r="M422" s="127"/>
      <c r="N422" s="127"/>
      <c r="O422" s="127"/>
      <c r="P422" s="127"/>
    </row>
    <row r="423" spans="1:16" ht="60" x14ac:dyDescent="0.25">
      <c r="A423" s="164">
        <v>404</v>
      </c>
      <c r="B423" s="207"/>
      <c r="C423" s="113" t="s">
        <v>76</v>
      </c>
      <c r="D423" s="42" t="s">
        <v>77</v>
      </c>
      <c r="E423" s="112" t="s">
        <v>8</v>
      </c>
      <c r="F423" s="20">
        <v>15</v>
      </c>
      <c r="G423" s="13">
        <v>5.28</v>
      </c>
      <c r="H423" s="13">
        <f t="shared" si="29"/>
        <v>6.4664160000000006</v>
      </c>
      <c r="I423" s="13">
        <f t="shared" si="30"/>
        <v>96.996240000000014</v>
      </c>
      <c r="J423" s="126"/>
      <c r="K423" s="127"/>
      <c r="L423" s="127"/>
      <c r="M423" s="127"/>
      <c r="N423" s="127"/>
      <c r="O423" s="127"/>
      <c r="P423" s="127"/>
    </row>
    <row r="424" spans="1:16" ht="45" x14ac:dyDescent="0.25">
      <c r="A424" s="164">
        <v>405</v>
      </c>
      <c r="B424" s="207" t="s">
        <v>116</v>
      </c>
      <c r="C424" s="12" t="s">
        <v>68</v>
      </c>
      <c r="D424" s="25" t="s">
        <v>69</v>
      </c>
      <c r="E424" s="112" t="s">
        <v>8</v>
      </c>
      <c r="F424" s="20">
        <f>27.99*3-F426</f>
        <v>75.09</v>
      </c>
      <c r="G424" s="13">
        <v>8.64</v>
      </c>
      <c r="H424" s="13">
        <f t="shared" si="29"/>
        <v>10.581408000000001</v>
      </c>
      <c r="I424" s="13">
        <f t="shared" si="30"/>
        <v>794.55792672000018</v>
      </c>
      <c r="J424" s="126"/>
      <c r="K424" s="127"/>
      <c r="L424" s="127"/>
      <c r="M424" s="127"/>
      <c r="N424" s="127"/>
      <c r="O424" s="127"/>
      <c r="P424" s="127"/>
    </row>
    <row r="425" spans="1:16" ht="60" x14ac:dyDescent="0.25">
      <c r="A425" s="164">
        <v>406</v>
      </c>
      <c r="B425" s="207"/>
      <c r="C425" s="12" t="s">
        <v>70</v>
      </c>
      <c r="D425" s="25" t="s">
        <v>71</v>
      </c>
      <c r="E425" s="112" t="s">
        <v>8</v>
      </c>
      <c r="F425" s="20">
        <f>F424</f>
        <v>75.09</v>
      </c>
      <c r="G425" s="13">
        <v>4.21</v>
      </c>
      <c r="H425" s="13">
        <f t="shared" si="29"/>
        <v>5.1559869999999997</v>
      </c>
      <c r="I425" s="13">
        <f t="shared" si="30"/>
        <v>387.16306383</v>
      </c>
      <c r="J425" s="126"/>
      <c r="K425" s="127"/>
      <c r="L425" s="127"/>
      <c r="M425" s="127"/>
      <c r="N425" s="127"/>
      <c r="O425" s="127"/>
      <c r="P425" s="127"/>
    </row>
    <row r="426" spans="1:16" ht="75" x14ac:dyDescent="0.25">
      <c r="A426" s="164">
        <v>407</v>
      </c>
      <c r="B426" s="207"/>
      <c r="C426" s="12" t="s">
        <v>72</v>
      </c>
      <c r="D426" s="163" t="s">
        <v>73</v>
      </c>
      <c r="E426" s="112" t="s">
        <v>8</v>
      </c>
      <c r="F426" s="20">
        <f>3*2*1.2+0.8*2.1</f>
        <v>8.879999999999999</v>
      </c>
      <c r="G426" s="13">
        <v>22.57</v>
      </c>
      <c r="H426" s="13">
        <f t="shared" si="29"/>
        <v>27.641479</v>
      </c>
      <c r="I426" s="13">
        <f t="shared" si="30"/>
        <v>245.45633351999999</v>
      </c>
      <c r="J426" s="126"/>
      <c r="K426" s="127"/>
      <c r="L426" s="127"/>
      <c r="M426" s="127"/>
      <c r="N426" s="127"/>
      <c r="O426" s="127"/>
      <c r="P426" s="127"/>
    </row>
    <row r="427" spans="1:16" ht="60" x14ac:dyDescent="0.25">
      <c r="A427" s="164">
        <v>408</v>
      </c>
      <c r="B427" s="207"/>
      <c r="C427" s="160" t="s">
        <v>74</v>
      </c>
      <c r="D427" s="163" t="s">
        <v>75</v>
      </c>
      <c r="E427" s="112" t="s">
        <v>8</v>
      </c>
      <c r="F427" s="20">
        <v>47.99</v>
      </c>
      <c r="G427" s="13">
        <v>14.14</v>
      </c>
      <c r="H427" s="13">
        <f t="shared" si="29"/>
        <v>17.317258000000002</v>
      </c>
      <c r="I427" s="13">
        <f t="shared" si="30"/>
        <v>831.05521142000021</v>
      </c>
      <c r="J427" s="126"/>
      <c r="K427" s="127"/>
      <c r="L427" s="127"/>
      <c r="M427" s="127"/>
      <c r="N427" s="127"/>
      <c r="O427" s="127"/>
      <c r="P427" s="127"/>
    </row>
    <row r="428" spans="1:16" ht="60" x14ac:dyDescent="0.25">
      <c r="A428" s="164">
        <v>409</v>
      </c>
      <c r="B428" s="207"/>
      <c r="C428" s="113" t="s">
        <v>76</v>
      </c>
      <c r="D428" s="42" t="s">
        <v>77</v>
      </c>
      <c r="E428" s="112" t="s">
        <v>8</v>
      </c>
      <c r="F428" s="20">
        <v>47.99</v>
      </c>
      <c r="G428" s="13">
        <v>5.28</v>
      </c>
      <c r="H428" s="13">
        <f t="shared" si="29"/>
        <v>6.4664160000000006</v>
      </c>
      <c r="I428" s="13">
        <f t="shared" si="30"/>
        <v>310.32330384000005</v>
      </c>
      <c r="J428" s="126"/>
      <c r="K428" s="127"/>
      <c r="L428" s="127"/>
      <c r="M428" s="127"/>
      <c r="N428" s="127"/>
      <c r="O428" s="127"/>
      <c r="P428" s="127"/>
    </row>
    <row r="429" spans="1:16" ht="45" x14ac:dyDescent="0.25">
      <c r="A429" s="164">
        <v>410</v>
      </c>
      <c r="B429" s="207" t="s">
        <v>117</v>
      </c>
      <c r="C429" s="12" t="s">
        <v>68</v>
      </c>
      <c r="D429" s="25" t="s">
        <v>69</v>
      </c>
      <c r="E429" s="112" t="s">
        <v>8</v>
      </c>
      <c r="F429" s="20">
        <f>24*3-F431</f>
        <v>60.72</v>
      </c>
      <c r="G429" s="13">
        <v>8.64</v>
      </c>
      <c r="H429" s="13">
        <f t="shared" si="29"/>
        <v>10.581408000000001</v>
      </c>
      <c r="I429" s="13">
        <f t="shared" si="30"/>
        <v>642.50309376000007</v>
      </c>
      <c r="J429" s="126"/>
      <c r="K429" s="127"/>
      <c r="L429" s="127"/>
      <c r="M429" s="127"/>
      <c r="N429" s="127"/>
      <c r="O429" s="127"/>
      <c r="P429" s="127"/>
    </row>
    <row r="430" spans="1:16" ht="60" x14ac:dyDescent="0.25">
      <c r="A430" s="164">
        <v>411</v>
      </c>
      <c r="B430" s="207"/>
      <c r="C430" s="12" t="s">
        <v>70</v>
      </c>
      <c r="D430" s="25" t="s">
        <v>71</v>
      </c>
      <c r="E430" s="112" t="s">
        <v>8</v>
      </c>
      <c r="F430" s="20">
        <f>F429</f>
        <v>60.72</v>
      </c>
      <c r="G430" s="13">
        <v>4.21</v>
      </c>
      <c r="H430" s="13">
        <f t="shared" si="29"/>
        <v>5.1559869999999997</v>
      </c>
      <c r="I430" s="13">
        <f t="shared" si="30"/>
        <v>313.07153063999999</v>
      </c>
      <c r="J430" s="126"/>
      <c r="K430" s="127"/>
      <c r="L430" s="127"/>
      <c r="M430" s="127"/>
      <c r="N430" s="127"/>
      <c r="O430" s="127"/>
      <c r="P430" s="127"/>
    </row>
    <row r="431" spans="1:16" ht="75" x14ac:dyDescent="0.25">
      <c r="A431" s="164">
        <v>412</v>
      </c>
      <c r="B431" s="207"/>
      <c r="C431" s="12" t="s">
        <v>72</v>
      </c>
      <c r="D431" s="163" t="s">
        <v>73</v>
      </c>
      <c r="E431" s="112" t="s">
        <v>8</v>
      </c>
      <c r="F431" s="20">
        <f>4*2*1.2+0.8*2.1</f>
        <v>11.28</v>
      </c>
      <c r="G431" s="13">
        <v>22.57</v>
      </c>
      <c r="H431" s="13">
        <f t="shared" si="29"/>
        <v>27.641479</v>
      </c>
      <c r="I431" s="13">
        <f t="shared" si="30"/>
        <v>311.79588311999998</v>
      </c>
      <c r="J431" s="126"/>
      <c r="K431" s="127"/>
      <c r="L431" s="127"/>
      <c r="M431" s="127"/>
      <c r="N431" s="127"/>
      <c r="O431" s="127"/>
      <c r="P431" s="127"/>
    </row>
    <row r="432" spans="1:16" ht="60" x14ac:dyDescent="0.25">
      <c r="A432" s="164">
        <v>413</v>
      </c>
      <c r="B432" s="207"/>
      <c r="C432" s="160" t="s">
        <v>74</v>
      </c>
      <c r="D432" s="163" t="s">
        <v>75</v>
      </c>
      <c r="E432" s="112" t="s">
        <v>8</v>
      </c>
      <c r="F432" s="20">
        <v>36</v>
      </c>
      <c r="G432" s="13">
        <v>14.14</v>
      </c>
      <c r="H432" s="13">
        <f t="shared" si="29"/>
        <v>17.317258000000002</v>
      </c>
      <c r="I432" s="13">
        <f t="shared" si="30"/>
        <v>623.42128800000012</v>
      </c>
      <c r="J432" s="126"/>
      <c r="K432" s="127"/>
      <c r="L432" s="127"/>
      <c r="M432" s="127"/>
      <c r="N432" s="127"/>
      <c r="O432" s="127"/>
      <c r="P432" s="127"/>
    </row>
    <row r="433" spans="1:16" ht="60" x14ac:dyDescent="0.25">
      <c r="A433" s="164">
        <v>414</v>
      </c>
      <c r="B433" s="207"/>
      <c r="C433" s="113" t="s">
        <v>76</v>
      </c>
      <c r="D433" s="42" t="s">
        <v>77</v>
      </c>
      <c r="E433" s="112" t="s">
        <v>8</v>
      </c>
      <c r="F433" s="20">
        <v>36</v>
      </c>
      <c r="G433" s="13">
        <v>5.28</v>
      </c>
      <c r="H433" s="13">
        <f t="shared" si="29"/>
        <v>6.4664160000000006</v>
      </c>
      <c r="I433" s="13">
        <f t="shared" si="30"/>
        <v>232.79097600000003</v>
      </c>
      <c r="J433" s="126"/>
      <c r="K433" s="127"/>
      <c r="L433" s="127"/>
      <c r="M433" s="127"/>
      <c r="N433" s="127"/>
      <c r="O433" s="127"/>
      <c r="P433" s="127"/>
    </row>
    <row r="434" spans="1:16" ht="45" x14ac:dyDescent="0.25">
      <c r="A434" s="164">
        <v>415</v>
      </c>
      <c r="B434" s="207" t="s">
        <v>118</v>
      </c>
      <c r="C434" s="12" t="s">
        <v>68</v>
      </c>
      <c r="D434" s="25" t="s">
        <v>69</v>
      </c>
      <c r="E434" s="112" t="s">
        <v>8</v>
      </c>
      <c r="F434" s="20">
        <f>27.99*3-F436</f>
        <v>75.09</v>
      </c>
      <c r="G434" s="13">
        <v>8.64</v>
      </c>
      <c r="H434" s="13">
        <f t="shared" si="29"/>
        <v>10.581408000000001</v>
      </c>
      <c r="I434" s="13">
        <f t="shared" si="30"/>
        <v>794.55792672000018</v>
      </c>
      <c r="J434" s="126"/>
      <c r="K434" s="127"/>
      <c r="L434" s="127"/>
      <c r="M434" s="127"/>
      <c r="N434" s="127"/>
      <c r="O434" s="127"/>
      <c r="P434" s="127"/>
    </row>
    <row r="435" spans="1:16" ht="60" x14ac:dyDescent="0.25">
      <c r="A435" s="164">
        <v>416</v>
      </c>
      <c r="B435" s="207"/>
      <c r="C435" s="12" t="s">
        <v>70</v>
      </c>
      <c r="D435" s="25" t="s">
        <v>71</v>
      </c>
      <c r="E435" s="112" t="s">
        <v>8</v>
      </c>
      <c r="F435" s="20">
        <f>F434</f>
        <v>75.09</v>
      </c>
      <c r="G435" s="13">
        <v>4.21</v>
      </c>
      <c r="H435" s="13">
        <f t="shared" si="29"/>
        <v>5.1559869999999997</v>
      </c>
      <c r="I435" s="13">
        <f t="shared" si="30"/>
        <v>387.16306383</v>
      </c>
      <c r="J435" s="126"/>
      <c r="K435" s="127"/>
      <c r="L435" s="127"/>
      <c r="M435" s="127"/>
      <c r="N435" s="127"/>
      <c r="O435" s="127"/>
      <c r="P435" s="127"/>
    </row>
    <row r="436" spans="1:16" ht="75" x14ac:dyDescent="0.25">
      <c r="A436" s="164">
        <v>417</v>
      </c>
      <c r="B436" s="207"/>
      <c r="C436" s="12" t="s">
        <v>72</v>
      </c>
      <c r="D436" s="163" t="s">
        <v>73</v>
      </c>
      <c r="E436" s="112" t="s">
        <v>8</v>
      </c>
      <c r="F436" s="20">
        <f>3*2*1.2+0.8*2.1</f>
        <v>8.879999999999999</v>
      </c>
      <c r="G436" s="13">
        <v>22.57</v>
      </c>
      <c r="H436" s="13">
        <f t="shared" si="29"/>
        <v>27.641479</v>
      </c>
      <c r="I436" s="13">
        <f t="shared" si="30"/>
        <v>245.45633351999999</v>
      </c>
      <c r="J436" s="126"/>
      <c r="K436" s="127"/>
      <c r="L436" s="127"/>
      <c r="M436" s="127"/>
      <c r="N436" s="127"/>
      <c r="O436" s="127"/>
      <c r="P436" s="127"/>
    </row>
    <row r="437" spans="1:16" ht="60" x14ac:dyDescent="0.25">
      <c r="A437" s="164">
        <v>418</v>
      </c>
      <c r="B437" s="207"/>
      <c r="C437" s="160" t="s">
        <v>74</v>
      </c>
      <c r="D437" s="163" t="s">
        <v>75</v>
      </c>
      <c r="E437" s="112" t="s">
        <v>8</v>
      </c>
      <c r="F437" s="20">
        <v>47.99</v>
      </c>
      <c r="G437" s="13">
        <v>14.14</v>
      </c>
      <c r="H437" s="13">
        <f t="shared" si="29"/>
        <v>17.317258000000002</v>
      </c>
      <c r="I437" s="13">
        <f t="shared" si="30"/>
        <v>831.05521142000021</v>
      </c>
      <c r="J437" s="126"/>
      <c r="K437" s="127"/>
      <c r="L437" s="127"/>
      <c r="M437" s="127"/>
      <c r="N437" s="127"/>
      <c r="O437" s="127"/>
      <c r="P437" s="127"/>
    </row>
    <row r="438" spans="1:16" ht="60" x14ac:dyDescent="0.25">
      <c r="A438" s="164">
        <v>419</v>
      </c>
      <c r="B438" s="207"/>
      <c r="C438" s="113" t="s">
        <v>76</v>
      </c>
      <c r="D438" s="42" t="s">
        <v>77</v>
      </c>
      <c r="E438" s="112" t="s">
        <v>8</v>
      </c>
      <c r="F438" s="20">
        <v>47.99</v>
      </c>
      <c r="G438" s="13">
        <v>5.28</v>
      </c>
      <c r="H438" s="13">
        <f t="shared" si="29"/>
        <v>6.4664160000000006</v>
      </c>
      <c r="I438" s="13">
        <f t="shared" si="30"/>
        <v>310.32330384000005</v>
      </c>
      <c r="J438" s="126"/>
      <c r="K438" s="127"/>
      <c r="L438" s="127"/>
      <c r="M438" s="127"/>
      <c r="N438" s="127"/>
      <c r="O438" s="127"/>
      <c r="P438" s="127"/>
    </row>
    <row r="439" spans="1:16" ht="45" x14ac:dyDescent="0.25">
      <c r="A439" s="164">
        <v>420</v>
      </c>
      <c r="B439" s="207" t="s">
        <v>126</v>
      </c>
      <c r="C439" s="12" t="s">
        <v>68</v>
      </c>
      <c r="D439" s="25" t="s">
        <v>69</v>
      </c>
      <c r="E439" s="112" t="s">
        <v>8</v>
      </c>
      <c r="F439" s="20">
        <f>24*3-F441</f>
        <v>60.72</v>
      </c>
      <c r="G439" s="13">
        <v>8.64</v>
      </c>
      <c r="H439" s="13">
        <f t="shared" si="29"/>
        <v>10.581408000000001</v>
      </c>
      <c r="I439" s="13">
        <f t="shared" si="30"/>
        <v>642.50309376000007</v>
      </c>
      <c r="J439" s="126"/>
      <c r="K439" s="127"/>
      <c r="L439" s="127"/>
      <c r="M439" s="127"/>
      <c r="N439" s="127"/>
      <c r="O439" s="127"/>
      <c r="P439" s="127"/>
    </row>
    <row r="440" spans="1:16" ht="60" x14ac:dyDescent="0.25">
      <c r="A440" s="164">
        <v>421</v>
      </c>
      <c r="B440" s="207"/>
      <c r="C440" s="12" t="s">
        <v>70</v>
      </c>
      <c r="D440" s="25" t="s">
        <v>71</v>
      </c>
      <c r="E440" s="112" t="s">
        <v>8</v>
      </c>
      <c r="F440" s="20">
        <f>F439</f>
        <v>60.72</v>
      </c>
      <c r="G440" s="13">
        <v>4.21</v>
      </c>
      <c r="H440" s="13">
        <f t="shared" si="29"/>
        <v>5.1559869999999997</v>
      </c>
      <c r="I440" s="13">
        <f t="shared" si="30"/>
        <v>313.07153063999999</v>
      </c>
      <c r="J440" s="126"/>
      <c r="K440" s="127"/>
      <c r="L440" s="127"/>
      <c r="M440" s="127"/>
      <c r="N440" s="127"/>
      <c r="O440" s="127"/>
      <c r="P440" s="127"/>
    </row>
    <row r="441" spans="1:16" ht="75" x14ac:dyDescent="0.25">
      <c r="A441" s="164">
        <v>422</v>
      </c>
      <c r="B441" s="207"/>
      <c r="C441" s="12" t="s">
        <v>72</v>
      </c>
      <c r="D441" s="163" t="s">
        <v>73</v>
      </c>
      <c r="E441" s="112" t="s">
        <v>8</v>
      </c>
      <c r="F441" s="20">
        <f>4*2*1.2+0.8*2.1</f>
        <v>11.28</v>
      </c>
      <c r="G441" s="13">
        <v>22.57</v>
      </c>
      <c r="H441" s="13">
        <f t="shared" si="29"/>
        <v>27.641479</v>
      </c>
      <c r="I441" s="13">
        <f t="shared" si="30"/>
        <v>311.79588311999998</v>
      </c>
      <c r="J441" s="126"/>
      <c r="K441" s="127"/>
      <c r="L441" s="127"/>
      <c r="M441" s="127"/>
      <c r="N441" s="127"/>
      <c r="O441" s="127"/>
      <c r="P441" s="127"/>
    </row>
    <row r="442" spans="1:16" ht="60" x14ac:dyDescent="0.25">
      <c r="A442" s="164">
        <v>423</v>
      </c>
      <c r="B442" s="207"/>
      <c r="C442" s="160" t="s">
        <v>74</v>
      </c>
      <c r="D442" s="163" t="s">
        <v>75</v>
      </c>
      <c r="E442" s="112" t="s">
        <v>8</v>
      </c>
      <c r="F442" s="20">
        <v>36</v>
      </c>
      <c r="G442" s="13">
        <v>14.14</v>
      </c>
      <c r="H442" s="13">
        <f t="shared" si="29"/>
        <v>17.317258000000002</v>
      </c>
      <c r="I442" s="13">
        <f t="shared" si="30"/>
        <v>623.42128800000012</v>
      </c>
      <c r="J442" s="126"/>
      <c r="K442" s="127"/>
      <c r="L442" s="127"/>
      <c r="M442" s="127"/>
      <c r="N442" s="127"/>
      <c r="O442" s="127"/>
      <c r="P442" s="127"/>
    </row>
    <row r="443" spans="1:16" ht="60" x14ac:dyDescent="0.25">
      <c r="A443" s="164">
        <v>424</v>
      </c>
      <c r="B443" s="207"/>
      <c r="C443" s="113" t="s">
        <v>76</v>
      </c>
      <c r="D443" s="42" t="s">
        <v>77</v>
      </c>
      <c r="E443" s="112" t="s">
        <v>8</v>
      </c>
      <c r="F443" s="20">
        <v>36</v>
      </c>
      <c r="G443" s="13">
        <v>5.28</v>
      </c>
      <c r="H443" s="13">
        <f t="shared" si="29"/>
        <v>6.4664160000000006</v>
      </c>
      <c r="I443" s="13">
        <f t="shared" si="30"/>
        <v>232.79097600000003</v>
      </c>
      <c r="J443" s="126"/>
      <c r="K443" s="127"/>
      <c r="L443" s="127"/>
      <c r="M443" s="127"/>
      <c r="N443" s="127"/>
      <c r="O443" s="127"/>
      <c r="P443" s="127"/>
    </row>
    <row r="444" spans="1:16" ht="45" x14ac:dyDescent="0.25">
      <c r="A444" s="164">
        <v>425</v>
      </c>
      <c r="B444" s="207" t="s">
        <v>131</v>
      </c>
      <c r="C444" s="12" t="s">
        <v>68</v>
      </c>
      <c r="D444" s="25" t="s">
        <v>69</v>
      </c>
      <c r="E444" s="112" t="s">
        <v>8</v>
      </c>
      <c r="F444" s="20">
        <f>38.8*3-F446</f>
        <v>100.44</v>
      </c>
      <c r="G444" s="13">
        <v>8.64</v>
      </c>
      <c r="H444" s="13">
        <f t="shared" si="29"/>
        <v>10.581408000000001</v>
      </c>
      <c r="I444" s="13">
        <f t="shared" si="30"/>
        <v>1062.7966195200001</v>
      </c>
      <c r="J444" s="126"/>
      <c r="K444" s="127"/>
      <c r="L444" s="127"/>
      <c r="M444" s="127"/>
      <c r="N444" s="127"/>
      <c r="O444" s="127"/>
      <c r="P444" s="127"/>
    </row>
    <row r="445" spans="1:16" ht="60" x14ac:dyDescent="0.25">
      <c r="A445" s="164">
        <v>426</v>
      </c>
      <c r="B445" s="207"/>
      <c r="C445" s="12" t="s">
        <v>70</v>
      </c>
      <c r="D445" s="25" t="s">
        <v>71</v>
      </c>
      <c r="E445" s="112" t="s">
        <v>8</v>
      </c>
      <c r="F445" s="20">
        <f>F444</f>
        <v>100.44</v>
      </c>
      <c r="G445" s="13">
        <v>4.21</v>
      </c>
      <c r="H445" s="13">
        <f t="shared" si="29"/>
        <v>5.1559869999999997</v>
      </c>
      <c r="I445" s="13">
        <f t="shared" si="30"/>
        <v>517.86733427999991</v>
      </c>
      <c r="J445" s="126"/>
      <c r="K445" s="127"/>
      <c r="L445" s="127"/>
      <c r="M445" s="127"/>
      <c r="N445" s="127"/>
      <c r="O445" s="127"/>
      <c r="P445" s="127"/>
    </row>
    <row r="446" spans="1:16" ht="75" x14ac:dyDescent="0.25">
      <c r="A446" s="164">
        <v>427</v>
      </c>
      <c r="B446" s="207"/>
      <c r="C446" s="12" t="s">
        <v>72</v>
      </c>
      <c r="D446" s="163" t="s">
        <v>73</v>
      </c>
      <c r="E446" s="112" t="s">
        <v>8</v>
      </c>
      <c r="F446" s="20">
        <f>7*0.8*2.1+2*2.1</f>
        <v>15.96</v>
      </c>
      <c r="G446" s="13">
        <v>22.57</v>
      </c>
      <c r="H446" s="13">
        <f t="shared" si="29"/>
        <v>27.641479</v>
      </c>
      <c r="I446" s="13">
        <f t="shared" si="30"/>
        <v>441.15800484000005</v>
      </c>
      <c r="J446" s="126"/>
      <c r="K446" s="127"/>
      <c r="L446" s="127"/>
      <c r="M446" s="127"/>
      <c r="N446" s="127"/>
      <c r="O446" s="127"/>
      <c r="P446" s="127"/>
    </row>
    <row r="447" spans="1:16" ht="60" x14ac:dyDescent="0.25">
      <c r="A447" s="164">
        <v>428</v>
      </c>
      <c r="B447" s="207"/>
      <c r="C447" s="160" t="s">
        <v>74</v>
      </c>
      <c r="D447" s="163" t="s">
        <v>75</v>
      </c>
      <c r="E447" s="112" t="s">
        <v>8</v>
      </c>
      <c r="F447" s="20">
        <v>40.36</v>
      </c>
      <c r="G447" s="13">
        <v>14.14</v>
      </c>
      <c r="H447" s="13">
        <f t="shared" si="29"/>
        <v>17.317258000000002</v>
      </c>
      <c r="I447" s="13">
        <f t="shared" si="30"/>
        <v>698.92453288000013</v>
      </c>
      <c r="J447" s="126"/>
      <c r="K447" s="127"/>
      <c r="L447" s="127"/>
      <c r="M447" s="127"/>
      <c r="N447" s="127"/>
      <c r="O447" s="127"/>
      <c r="P447" s="127"/>
    </row>
    <row r="448" spans="1:16" ht="60" x14ac:dyDescent="0.25">
      <c r="A448" s="164">
        <v>429</v>
      </c>
      <c r="B448" s="207"/>
      <c r="C448" s="113" t="s">
        <v>76</v>
      </c>
      <c r="D448" s="42" t="s">
        <v>77</v>
      </c>
      <c r="E448" s="112" t="s">
        <v>8</v>
      </c>
      <c r="F448" s="20">
        <v>40.36</v>
      </c>
      <c r="G448" s="13">
        <v>5.28</v>
      </c>
      <c r="H448" s="13">
        <f t="shared" si="29"/>
        <v>6.4664160000000006</v>
      </c>
      <c r="I448" s="13">
        <f t="shared" si="30"/>
        <v>260.98454975999999</v>
      </c>
      <c r="J448" s="126"/>
      <c r="K448" s="127"/>
      <c r="L448" s="127"/>
      <c r="M448" s="127"/>
      <c r="N448" s="127"/>
      <c r="O448" s="127"/>
      <c r="P448" s="127"/>
    </row>
    <row r="449" spans="1:16" ht="45" x14ac:dyDescent="0.25">
      <c r="A449" s="164">
        <v>430</v>
      </c>
      <c r="B449" s="207" t="s">
        <v>132</v>
      </c>
      <c r="C449" s="12" t="s">
        <v>68</v>
      </c>
      <c r="D449" s="25" t="s">
        <v>69</v>
      </c>
      <c r="E449" s="112" t="s">
        <v>8</v>
      </c>
      <c r="F449" s="20">
        <f>20*3-F451</f>
        <v>50.76</v>
      </c>
      <c r="G449" s="13">
        <v>8.64</v>
      </c>
      <c r="H449" s="13">
        <f t="shared" si="29"/>
        <v>10.581408000000001</v>
      </c>
      <c r="I449" s="13">
        <f t="shared" si="30"/>
        <v>537.11227008000003</v>
      </c>
      <c r="J449" s="126"/>
      <c r="K449" s="127"/>
      <c r="L449" s="127"/>
      <c r="M449" s="127"/>
      <c r="N449" s="127"/>
      <c r="O449" s="127"/>
      <c r="P449" s="127"/>
    </row>
    <row r="450" spans="1:16" ht="60" x14ac:dyDescent="0.25">
      <c r="A450" s="164">
        <v>431</v>
      </c>
      <c r="B450" s="207"/>
      <c r="C450" s="12" t="s">
        <v>70</v>
      </c>
      <c r="D450" s="25" t="s">
        <v>71</v>
      </c>
      <c r="E450" s="112" t="s">
        <v>8</v>
      </c>
      <c r="F450" s="20">
        <f>F449</f>
        <v>50.76</v>
      </c>
      <c r="G450" s="13">
        <v>4.21</v>
      </c>
      <c r="H450" s="13">
        <f t="shared" si="29"/>
        <v>5.1559869999999997</v>
      </c>
      <c r="I450" s="13">
        <f t="shared" si="30"/>
        <v>261.71790011999997</v>
      </c>
      <c r="J450" s="126"/>
      <c r="K450" s="127"/>
      <c r="L450" s="127"/>
      <c r="M450" s="127"/>
      <c r="N450" s="127"/>
      <c r="O450" s="127"/>
      <c r="P450" s="127"/>
    </row>
    <row r="451" spans="1:16" ht="75" x14ac:dyDescent="0.25">
      <c r="A451" s="164">
        <v>432</v>
      </c>
      <c r="B451" s="207"/>
      <c r="C451" s="12" t="s">
        <v>72</v>
      </c>
      <c r="D451" s="163" t="s">
        <v>73</v>
      </c>
      <c r="E451" s="112" t="s">
        <v>8</v>
      </c>
      <c r="F451" s="20">
        <f>3*0.8*2.1+1.5*1.2+2*1.2</f>
        <v>9.24</v>
      </c>
      <c r="G451" s="13">
        <v>22.57</v>
      </c>
      <c r="H451" s="13">
        <f t="shared" si="29"/>
        <v>27.641479</v>
      </c>
      <c r="I451" s="13">
        <f t="shared" si="30"/>
        <v>255.40726596000002</v>
      </c>
      <c r="J451" s="126"/>
      <c r="K451" s="127"/>
      <c r="L451" s="127"/>
      <c r="M451" s="127"/>
      <c r="N451" s="127"/>
      <c r="O451" s="127"/>
      <c r="P451" s="127"/>
    </row>
    <row r="452" spans="1:16" ht="60" x14ac:dyDescent="0.25">
      <c r="A452" s="164">
        <v>433</v>
      </c>
      <c r="B452" s="207"/>
      <c r="C452" s="160" t="s">
        <v>74</v>
      </c>
      <c r="D452" s="163" t="s">
        <v>75</v>
      </c>
      <c r="E452" s="112" t="s">
        <v>8</v>
      </c>
      <c r="F452" s="20">
        <v>19.73</v>
      </c>
      <c r="G452" s="13">
        <v>14.14</v>
      </c>
      <c r="H452" s="13">
        <f t="shared" si="29"/>
        <v>17.317258000000002</v>
      </c>
      <c r="I452" s="13">
        <f t="shared" si="30"/>
        <v>341.66950034000007</v>
      </c>
      <c r="J452" s="126"/>
      <c r="K452" s="127"/>
      <c r="L452" s="127"/>
      <c r="M452" s="127"/>
      <c r="N452" s="127"/>
      <c r="O452" s="127"/>
      <c r="P452" s="127"/>
    </row>
    <row r="453" spans="1:16" ht="60" x14ac:dyDescent="0.25">
      <c r="A453" s="164">
        <v>434</v>
      </c>
      <c r="B453" s="207"/>
      <c r="C453" s="113" t="s">
        <v>76</v>
      </c>
      <c r="D453" s="42" t="s">
        <v>77</v>
      </c>
      <c r="E453" s="112" t="s">
        <v>8</v>
      </c>
      <c r="F453" s="20">
        <v>19.73</v>
      </c>
      <c r="G453" s="13">
        <v>5.28</v>
      </c>
      <c r="H453" s="13">
        <f t="shared" si="29"/>
        <v>6.4664160000000006</v>
      </c>
      <c r="I453" s="13">
        <f t="shared" si="30"/>
        <v>127.58238768000001</v>
      </c>
      <c r="J453" s="126"/>
      <c r="K453" s="127"/>
      <c r="L453" s="127"/>
      <c r="M453" s="127"/>
      <c r="N453" s="127"/>
      <c r="O453" s="127"/>
      <c r="P453" s="127"/>
    </row>
    <row r="454" spans="1:16" ht="45" x14ac:dyDescent="0.25">
      <c r="A454" s="164">
        <v>435</v>
      </c>
      <c r="B454" s="207" t="s">
        <v>133</v>
      </c>
      <c r="C454" s="12" t="s">
        <v>68</v>
      </c>
      <c r="D454" s="25" t="s">
        <v>69</v>
      </c>
      <c r="E454" s="112" t="s">
        <v>8</v>
      </c>
      <c r="F454" s="20">
        <f>36.55*3-F456</f>
        <v>95.969999999999985</v>
      </c>
      <c r="G454" s="13">
        <v>8.64</v>
      </c>
      <c r="H454" s="13">
        <f t="shared" si="29"/>
        <v>10.581408000000001</v>
      </c>
      <c r="I454" s="13">
        <f t="shared" si="30"/>
        <v>1015.49772576</v>
      </c>
      <c r="J454" s="126"/>
      <c r="K454" s="127"/>
      <c r="L454" s="127"/>
      <c r="M454" s="127"/>
      <c r="N454" s="127"/>
      <c r="O454" s="127"/>
      <c r="P454" s="127"/>
    </row>
    <row r="455" spans="1:16" ht="60" x14ac:dyDescent="0.25">
      <c r="A455" s="164">
        <v>436</v>
      </c>
      <c r="B455" s="207"/>
      <c r="C455" s="12" t="s">
        <v>70</v>
      </c>
      <c r="D455" s="25" t="s">
        <v>71</v>
      </c>
      <c r="E455" s="112" t="s">
        <v>8</v>
      </c>
      <c r="F455" s="20">
        <f>F454</f>
        <v>95.969999999999985</v>
      </c>
      <c r="G455" s="13">
        <v>4.21</v>
      </c>
      <c r="H455" s="13">
        <f t="shared" si="29"/>
        <v>5.1559869999999997</v>
      </c>
      <c r="I455" s="13">
        <f t="shared" si="30"/>
        <v>494.82007238999989</v>
      </c>
      <c r="J455" s="126"/>
      <c r="K455" s="127"/>
      <c r="L455" s="127"/>
      <c r="M455" s="127"/>
      <c r="N455" s="127"/>
      <c r="O455" s="127"/>
      <c r="P455" s="127"/>
    </row>
    <row r="456" spans="1:16" ht="75" x14ac:dyDescent="0.25">
      <c r="A456" s="164">
        <v>437</v>
      </c>
      <c r="B456" s="207"/>
      <c r="C456" s="12" t="s">
        <v>72</v>
      </c>
      <c r="D456" s="163" t="s">
        <v>73</v>
      </c>
      <c r="E456" s="112" t="s">
        <v>8</v>
      </c>
      <c r="F456" s="20">
        <f>6*0.8*2.1+2*1.5*1.2</f>
        <v>13.680000000000001</v>
      </c>
      <c r="G456" s="13">
        <v>22.57</v>
      </c>
      <c r="H456" s="13">
        <f t="shared" si="29"/>
        <v>27.641479</v>
      </c>
      <c r="I456" s="13">
        <f t="shared" si="30"/>
        <v>378.13543272000004</v>
      </c>
      <c r="J456" s="126"/>
      <c r="K456" s="127"/>
      <c r="L456" s="127"/>
      <c r="M456" s="127"/>
      <c r="N456" s="127"/>
      <c r="O456" s="127"/>
      <c r="P456" s="127"/>
    </row>
    <row r="457" spans="1:16" ht="60" x14ac:dyDescent="0.25">
      <c r="A457" s="164">
        <v>438</v>
      </c>
      <c r="B457" s="207"/>
      <c r="C457" s="160" t="s">
        <v>74</v>
      </c>
      <c r="D457" s="163" t="s">
        <v>75</v>
      </c>
      <c r="E457" s="112" t="s">
        <v>8</v>
      </c>
      <c r="F457" s="20">
        <v>47.73</v>
      </c>
      <c r="G457" s="13">
        <v>14.14</v>
      </c>
      <c r="H457" s="13">
        <f t="shared" si="29"/>
        <v>17.317258000000002</v>
      </c>
      <c r="I457" s="13">
        <f t="shared" si="30"/>
        <v>826.55272434000005</v>
      </c>
      <c r="J457" s="126"/>
      <c r="K457" s="127"/>
      <c r="L457" s="127"/>
      <c r="M457" s="127"/>
      <c r="N457" s="127"/>
      <c r="O457" s="127"/>
      <c r="P457" s="127"/>
    </row>
    <row r="458" spans="1:16" ht="60" x14ac:dyDescent="0.25">
      <c r="A458" s="164">
        <v>439</v>
      </c>
      <c r="B458" s="207"/>
      <c r="C458" s="113" t="s">
        <v>76</v>
      </c>
      <c r="D458" s="42" t="s">
        <v>77</v>
      </c>
      <c r="E458" s="112" t="s">
        <v>8</v>
      </c>
      <c r="F458" s="20">
        <v>47.73</v>
      </c>
      <c r="G458" s="13">
        <v>5.28</v>
      </c>
      <c r="H458" s="13">
        <f t="shared" si="29"/>
        <v>6.4664160000000006</v>
      </c>
      <c r="I458" s="13">
        <f t="shared" si="30"/>
        <v>308.64203567999999</v>
      </c>
      <c r="J458" s="126"/>
      <c r="K458" s="127"/>
      <c r="L458" s="127"/>
      <c r="M458" s="127"/>
      <c r="N458" s="127"/>
      <c r="O458" s="127"/>
      <c r="P458" s="127"/>
    </row>
    <row r="459" spans="1:16" ht="75" x14ac:dyDescent="0.25">
      <c r="A459" s="164">
        <v>440</v>
      </c>
      <c r="B459" s="207" t="s">
        <v>119</v>
      </c>
      <c r="C459" s="12" t="s">
        <v>72</v>
      </c>
      <c r="D459" s="163" t="s">
        <v>73</v>
      </c>
      <c r="E459" s="112" t="s">
        <v>8</v>
      </c>
      <c r="F459" s="20">
        <f>1.8*1.2+0.8*2.1</f>
        <v>3.8400000000000003</v>
      </c>
      <c r="G459" s="13">
        <v>22.57</v>
      </c>
      <c r="H459" s="13">
        <f t="shared" si="29"/>
        <v>27.641479</v>
      </c>
      <c r="I459" s="13">
        <f t="shared" si="30"/>
        <v>106.14327936000001</v>
      </c>
      <c r="J459" s="126"/>
      <c r="K459" s="127"/>
      <c r="L459" s="127"/>
      <c r="M459" s="127"/>
      <c r="N459" s="127"/>
      <c r="O459" s="127"/>
      <c r="P459" s="127"/>
    </row>
    <row r="460" spans="1:16" ht="60" x14ac:dyDescent="0.25">
      <c r="A460" s="164">
        <v>441</v>
      </c>
      <c r="B460" s="207"/>
      <c r="C460" s="160" t="s">
        <v>74</v>
      </c>
      <c r="D460" s="163" t="s">
        <v>75</v>
      </c>
      <c r="E460" s="112" t="s">
        <v>8</v>
      </c>
      <c r="F460" s="20">
        <v>4.67</v>
      </c>
      <c r="G460" s="13">
        <v>14.14</v>
      </c>
      <c r="H460" s="13">
        <f t="shared" si="29"/>
        <v>17.317258000000002</v>
      </c>
      <c r="I460" s="13">
        <f t="shared" si="30"/>
        <v>80.871594860000016</v>
      </c>
      <c r="J460" s="126"/>
      <c r="K460" s="127"/>
      <c r="L460" s="127"/>
      <c r="M460" s="127"/>
      <c r="N460" s="127"/>
      <c r="O460" s="127"/>
      <c r="P460" s="127"/>
    </row>
    <row r="461" spans="1:16" ht="60" x14ac:dyDescent="0.25">
      <c r="A461" s="164">
        <v>442</v>
      </c>
      <c r="B461" s="207"/>
      <c r="C461" s="113" t="s">
        <v>76</v>
      </c>
      <c r="D461" s="42" t="s">
        <v>77</v>
      </c>
      <c r="E461" s="112" t="s">
        <v>8</v>
      </c>
      <c r="F461" s="20">
        <v>4.67</v>
      </c>
      <c r="G461" s="13">
        <v>5.28</v>
      </c>
      <c r="H461" s="13">
        <f t="shared" si="29"/>
        <v>6.4664160000000006</v>
      </c>
      <c r="I461" s="13">
        <f t="shared" si="30"/>
        <v>30.198162720000003</v>
      </c>
      <c r="J461" s="126"/>
      <c r="K461" s="127"/>
      <c r="L461" s="127"/>
      <c r="M461" s="127"/>
      <c r="N461" s="127"/>
      <c r="O461" s="127"/>
      <c r="P461" s="127"/>
    </row>
    <row r="462" spans="1:16" ht="75" x14ac:dyDescent="0.25">
      <c r="A462" s="164">
        <v>443</v>
      </c>
      <c r="B462" s="207" t="s">
        <v>120</v>
      </c>
      <c r="C462" s="12" t="s">
        <v>72</v>
      </c>
      <c r="D462" s="163" t="s">
        <v>73</v>
      </c>
      <c r="E462" s="112" t="s">
        <v>8</v>
      </c>
      <c r="F462" s="20">
        <f>1.5*1.2+0.8*2.1</f>
        <v>3.48</v>
      </c>
      <c r="G462" s="13">
        <v>22.57</v>
      </c>
      <c r="H462" s="13">
        <f t="shared" si="29"/>
        <v>27.641479</v>
      </c>
      <c r="I462" s="13">
        <f t="shared" si="30"/>
        <v>96.192346920000006</v>
      </c>
      <c r="J462" s="126"/>
      <c r="K462" s="127"/>
      <c r="L462" s="127"/>
      <c r="M462" s="127"/>
      <c r="N462" s="127"/>
      <c r="O462" s="127"/>
      <c r="P462" s="127"/>
    </row>
    <row r="463" spans="1:16" ht="60" x14ac:dyDescent="0.25">
      <c r="A463" s="164">
        <v>444</v>
      </c>
      <c r="B463" s="207"/>
      <c r="C463" s="160" t="s">
        <v>74</v>
      </c>
      <c r="D463" s="163" t="s">
        <v>75</v>
      </c>
      <c r="E463" s="112" t="s">
        <v>8</v>
      </c>
      <c r="F463" s="20">
        <v>5.84</v>
      </c>
      <c r="G463" s="13">
        <v>14.14</v>
      </c>
      <c r="H463" s="13">
        <f t="shared" si="29"/>
        <v>17.317258000000002</v>
      </c>
      <c r="I463" s="13">
        <f t="shared" si="30"/>
        <v>101.13278672000001</v>
      </c>
      <c r="J463" s="126"/>
      <c r="K463" s="127"/>
      <c r="L463" s="127"/>
      <c r="M463" s="127"/>
      <c r="N463" s="127"/>
      <c r="O463" s="127"/>
      <c r="P463" s="127"/>
    </row>
    <row r="464" spans="1:16" ht="60" x14ac:dyDescent="0.25">
      <c r="A464" s="164">
        <v>445</v>
      </c>
      <c r="B464" s="207"/>
      <c r="C464" s="113" t="s">
        <v>76</v>
      </c>
      <c r="D464" s="42" t="s">
        <v>77</v>
      </c>
      <c r="E464" s="112" t="s">
        <v>8</v>
      </c>
      <c r="F464" s="20">
        <v>5.84</v>
      </c>
      <c r="G464" s="13">
        <v>5.28</v>
      </c>
      <c r="H464" s="13">
        <f t="shared" si="29"/>
        <v>6.4664160000000006</v>
      </c>
      <c r="I464" s="13">
        <f t="shared" si="30"/>
        <v>37.763869440000001</v>
      </c>
      <c r="J464" s="126"/>
      <c r="K464" s="127"/>
      <c r="L464" s="127"/>
      <c r="M464" s="127"/>
      <c r="N464" s="127"/>
      <c r="O464" s="127"/>
      <c r="P464" s="127"/>
    </row>
    <row r="465" spans="1:16" ht="75" x14ac:dyDescent="0.25">
      <c r="A465" s="164">
        <v>446</v>
      </c>
      <c r="B465" s="207" t="s">
        <v>122</v>
      </c>
      <c r="C465" s="12" t="s">
        <v>72</v>
      </c>
      <c r="D465" s="163" t="s">
        <v>73</v>
      </c>
      <c r="E465" s="112" t="s">
        <v>8</v>
      </c>
      <c r="F465" s="20">
        <f>0.8*2.1+1*1</f>
        <v>2.68</v>
      </c>
      <c r="G465" s="13">
        <v>22.57</v>
      </c>
      <c r="H465" s="13">
        <f t="shared" si="29"/>
        <v>27.641479</v>
      </c>
      <c r="I465" s="13">
        <f t="shared" si="30"/>
        <v>74.079163720000011</v>
      </c>
      <c r="J465" s="126"/>
      <c r="K465" s="127"/>
      <c r="L465" s="127"/>
      <c r="M465" s="127"/>
      <c r="N465" s="127"/>
      <c r="O465" s="127"/>
      <c r="P465" s="127"/>
    </row>
    <row r="466" spans="1:16" ht="60" x14ac:dyDescent="0.25">
      <c r="A466" s="164">
        <v>447</v>
      </c>
      <c r="B466" s="207"/>
      <c r="C466" s="160" t="s">
        <v>74</v>
      </c>
      <c r="D466" s="163" t="s">
        <v>75</v>
      </c>
      <c r="E466" s="112" t="s">
        <v>8</v>
      </c>
      <c r="F466" s="20">
        <v>5.84</v>
      </c>
      <c r="G466" s="13">
        <v>14.14</v>
      </c>
      <c r="H466" s="13">
        <f t="shared" si="29"/>
        <v>17.317258000000002</v>
      </c>
      <c r="I466" s="13">
        <f t="shared" si="30"/>
        <v>101.13278672000001</v>
      </c>
      <c r="J466" s="126"/>
      <c r="K466" s="127"/>
      <c r="L466" s="127"/>
      <c r="M466" s="127"/>
      <c r="N466" s="127"/>
      <c r="O466" s="127"/>
      <c r="P466" s="127"/>
    </row>
    <row r="467" spans="1:16" ht="60" x14ac:dyDescent="0.25">
      <c r="A467" s="164">
        <v>448</v>
      </c>
      <c r="B467" s="207"/>
      <c r="C467" s="113" t="s">
        <v>76</v>
      </c>
      <c r="D467" s="42" t="s">
        <v>77</v>
      </c>
      <c r="E467" s="112" t="s">
        <v>8</v>
      </c>
      <c r="F467" s="20">
        <v>5.84</v>
      </c>
      <c r="G467" s="13">
        <v>5.28</v>
      </c>
      <c r="H467" s="13">
        <f t="shared" si="29"/>
        <v>6.4664160000000006</v>
      </c>
      <c r="I467" s="13">
        <f t="shared" si="30"/>
        <v>37.763869440000001</v>
      </c>
      <c r="J467" s="126"/>
      <c r="K467" s="127"/>
      <c r="L467" s="127"/>
      <c r="M467" s="127"/>
      <c r="N467" s="127"/>
      <c r="O467" s="127"/>
      <c r="P467" s="127"/>
    </row>
    <row r="468" spans="1:16" ht="75" x14ac:dyDescent="0.25">
      <c r="A468" s="164">
        <v>449</v>
      </c>
      <c r="B468" s="207" t="s">
        <v>134</v>
      </c>
      <c r="C468" s="12" t="s">
        <v>72</v>
      </c>
      <c r="D468" s="163" t="s">
        <v>73</v>
      </c>
      <c r="E468" s="112" t="s">
        <v>8</v>
      </c>
      <c r="F468" s="20">
        <f>0.55*0.55+0.8*2.1</f>
        <v>1.9825000000000002</v>
      </c>
      <c r="G468" s="13">
        <v>22.57</v>
      </c>
      <c r="H468" s="13">
        <f t="shared" si="29"/>
        <v>27.641479</v>
      </c>
      <c r="I468" s="13">
        <f t="shared" si="30"/>
        <v>54.799232117500004</v>
      </c>
      <c r="J468" s="126"/>
      <c r="K468" s="127"/>
      <c r="L468" s="127"/>
      <c r="M468" s="127"/>
      <c r="N468" s="127"/>
      <c r="O468" s="127"/>
      <c r="P468" s="127"/>
    </row>
    <row r="469" spans="1:16" ht="60" x14ac:dyDescent="0.25">
      <c r="A469" s="164">
        <v>450</v>
      </c>
      <c r="B469" s="207"/>
      <c r="C469" s="160" t="s">
        <v>74</v>
      </c>
      <c r="D469" s="163" t="s">
        <v>75</v>
      </c>
      <c r="E469" s="112" t="s">
        <v>8</v>
      </c>
      <c r="F469" s="20">
        <v>2.97</v>
      </c>
      <c r="G469" s="13">
        <v>14.14</v>
      </c>
      <c r="H469" s="13">
        <f t="shared" si="29"/>
        <v>17.317258000000002</v>
      </c>
      <c r="I469" s="13">
        <f t="shared" si="30"/>
        <v>51.43225626000001</v>
      </c>
      <c r="J469" s="126"/>
      <c r="K469" s="127"/>
      <c r="L469" s="127"/>
      <c r="M469" s="127"/>
      <c r="N469" s="127"/>
      <c r="O469" s="127"/>
      <c r="P469" s="127"/>
    </row>
    <row r="470" spans="1:16" ht="60" x14ac:dyDescent="0.25">
      <c r="A470" s="164">
        <v>451</v>
      </c>
      <c r="B470" s="207"/>
      <c r="C470" s="113" t="s">
        <v>76</v>
      </c>
      <c r="D470" s="42" t="s">
        <v>77</v>
      </c>
      <c r="E470" s="112" t="s">
        <v>8</v>
      </c>
      <c r="F470" s="20">
        <v>2.97</v>
      </c>
      <c r="G470" s="13">
        <v>5.28</v>
      </c>
      <c r="H470" s="13">
        <f t="shared" ref="H470:H478" si="31">G470+G470*B$18</f>
        <v>6.4664160000000006</v>
      </c>
      <c r="I470" s="13">
        <f t="shared" ref="I470:I478" si="32">H470*F470</f>
        <v>19.205255520000001</v>
      </c>
      <c r="J470" s="126"/>
      <c r="K470" s="127"/>
      <c r="L470" s="127"/>
      <c r="M470" s="127"/>
      <c r="N470" s="127"/>
      <c r="O470" s="127"/>
      <c r="P470" s="127"/>
    </row>
    <row r="471" spans="1:16" ht="75" x14ac:dyDescent="0.25">
      <c r="A471" s="164">
        <v>452</v>
      </c>
      <c r="B471" s="207" t="s">
        <v>123</v>
      </c>
      <c r="C471" s="12" t="s">
        <v>72</v>
      </c>
      <c r="D471" s="163" t="s">
        <v>73</v>
      </c>
      <c r="E471" s="112" t="s">
        <v>8</v>
      </c>
      <c r="F471" s="20">
        <f>3*1.5*1.2+2*0.8*2.1</f>
        <v>8.76</v>
      </c>
      <c r="G471" s="13">
        <v>22.57</v>
      </c>
      <c r="H471" s="13">
        <f t="shared" si="31"/>
        <v>27.641479</v>
      </c>
      <c r="I471" s="13">
        <f t="shared" si="32"/>
        <v>242.13935604</v>
      </c>
      <c r="J471" s="126"/>
      <c r="K471" s="127"/>
      <c r="L471" s="127"/>
      <c r="M471" s="127"/>
      <c r="N471" s="127"/>
      <c r="O471" s="127"/>
      <c r="P471" s="127"/>
    </row>
    <row r="472" spans="1:16" ht="60" x14ac:dyDescent="0.25">
      <c r="A472" s="164">
        <v>453</v>
      </c>
      <c r="B472" s="207"/>
      <c r="C472" s="160" t="s">
        <v>74</v>
      </c>
      <c r="D472" s="163" t="s">
        <v>75</v>
      </c>
      <c r="E472" s="112" t="s">
        <v>8</v>
      </c>
      <c r="F472" s="20">
        <f>20.99</f>
        <v>20.99</v>
      </c>
      <c r="G472" s="13">
        <v>14.14</v>
      </c>
      <c r="H472" s="13">
        <f t="shared" si="31"/>
        <v>17.317258000000002</v>
      </c>
      <c r="I472" s="13">
        <f t="shared" si="32"/>
        <v>363.48924542000003</v>
      </c>
      <c r="J472" s="126"/>
      <c r="K472" s="127"/>
      <c r="L472" s="127"/>
      <c r="M472" s="127"/>
      <c r="N472" s="127"/>
      <c r="O472" s="127"/>
      <c r="P472" s="127"/>
    </row>
    <row r="473" spans="1:16" ht="60" x14ac:dyDescent="0.25">
      <c r="A473" s="164">
        <v>454</v>
      </c>
      <c r="B473" s="207"/>
      <c r="C473" s="113" t="s">
        <v>76</v>
      </c>
      <c r="D473" s="42" t="s">
        <v>77</v>
      </c>
      <c r="E473" s="112" t="s">
        <v>8</v>
      </c>
      <c r="F473" s="20">
        <v>20.99</v>
      </c>
      <c r="G473" s="13">
        <v>5.28</v>
      </c>
      <c r="H473" s="13">
        <f t="shared" si="31"/>
        <v>6.4664160000000006</v>
      </c>
      <c r="I473" s="13">
        <f t="shared" si="32"/>
        <v>135.73007183999999</v>
      </c>
      <c r="J473" s="126"/>
      <c r="K473" s="127"/>
      <c r="L473" s="127"/>
      <c r="M473" s="127"/>
      <c r="N473" s="127"/>
      <c r="O473" s="127"/>
      <c r="P473" s="127"/>
    </row>
    <row r="474" spans="1:16" ht="45" x14ac:dyDescent="0.25">
      <c r="A474" s="164">
        <v>455</v>
      </c>
      <c r="B474" s="207" t="s">
        <v>125</v>
      </c>
      <c r="C474" s="12" t="s">
        <v>68</v>
      </c>
      <c r="D474" s="25" t="s">
        <v>69</v>
      </c>
      <c r="E474" s="112" t="s">
        <v>8</v>
      </c>
      <c r="F474" s="20">
        <f>14.55*3.3+2.7*3+3.75*3.15+1*(3+3.15)/2+5.85*(3.15+3.8)/2+1.5*(3.8+3)/2+14.94*3+8.14*3+8.14*1/2+6.39*(3.3+3)/2+14.35*3.3+15.4*3.6</f>
        <v>292.66474999999997</v>
      </c>
      <c r="G474" s="13">
        <v>8.64</v>
      </c>
      <c r="H474" s="13">
        <f t="shared" si="31"/>
        <v>10.581408000000001</v>
      </c>
      <c r="I474" s="13">
        <f t="shared" si="32"/>
        <v>3096.805126968</v>
      </c>
      <c r="J474" s="126"/>
      <c r="K474" s="127"/>
      <c r="L474" s="127"/>
      <c r="M474" s="127"/>
      <c r="N474" s="127"/>
      <c r="O474" s="127"/>
      <c r="P474" s="127"/>
    </row>
    <row r="475" spans="1:16" ht="60" x14ac:dyDescent="0.25">
      <c r="A475" s="164">
        <v>456</v>
      </c>
      <c r="B475" s="207"/>
      <c r="C475" s="12" t="s">
        <v>70</v>
      </c>
      <c r="D475" s="25" t="s">
        <v>71</v>
      </c>
      <c r="E475" s="112" t="s">
        <v>8</v>
      </c>
      <c r="F475" s="20">
        <f>F474</f>
        <v>292.66474999999997</v>
      </c>
      <c r="G475" s="13">
        <v>4.21</v>
      </c>
      <c r="H475" s="13">
        <f t="shared" si="31"/>
        <v>5.1559869999999997</v>
      </c>
      <c r="I475" s="13">
        <f t="shared" si="32"/>
        <v>1508.9756463582498</v>
      </c>
      <c r="J475" s="126"/>
      <c r="K475" s="127"/>
      <c r="L475" s="127"/>
      <c r="M475" s="127"/>
      <c r="N475" s="127"/>
      <c r="O475" s="127"/>
      <c r="P475" s="127"/>
    </row>
    <row r="476" spans="1:16" ht="45" x14ac:dyDescent="0.25">
      <c r="A476" s="164">
        <v>457</v>
      </c>
      <c r="B476" s="207" t="s">
        <v>124</v>
      </c>
      <c r="C476" s="12" t="s">
        <v>68</v>
      </c>
      <c r="D476" s="25" t="s">
        <v>69</v>
      </c>
      <c r="E476" s="112" t="s">
        <v>8</v>
      </c>
      <c r="F476" s="20">
        <f>F477</f>
        <v>319</v>
      </c>
      <c r="G476" s="13">
        <v>8.64</v>
      </c>
      <c r="H476" s="13">
        <f t="shared" si="31"/>
        <v>10.581408000000001</v>
      </c>
      <c r="I476" s="13">
        <f t="shared" si="32"/>
        <v>3375.4691520000006</v>
      </c>
      <c r="J476" s="126"/>
      <c r="K476" s="127"/>
      <c r="L476" s="127"/>
      <c r="M476" s="127"/>
      <c r="N476" s="127"/>
      <c r="O476" s="127"/>
      <c r="P476" s="127"/>
    </row>
    <row r="477" spans="1:16" ht="60" x14ac:dyDescent="0.25">
      <c r="A477" s="164">
        <v>458</v>
      </c>
      <c r="B477" s="207"/>
      <c r="C477" s="12" t="s">
        <v>70</v>
      </c>
      <c r="D477" s="25" t="s">
        <v>71</v>
      </c>
      <c r="E477" s="112" t="s">
        <v>8</v>
      </c>
      <c r="F477" s="20">
        <f>145*2.2</f>
        <v>319</v>
      </c>
      <c r="G477" s="13">
        <v>4.21</v>
      </c>
      <c r="H477" s="13">
        <f t="shared" si="31"/>
        <v>5.1559869999999997</v>
      </c>
      <c r="I477" s="13">
        <f t="shared" si="32"/>
        <v>1644.7598529999998</v>
      </c>
      <c r="J477" s="126"/>
      <c r="K477" s="127"/>
      <c r="L477" s="127"/>
      <c r="M477" s="127"/>
      <c r="N477" s="127"/>
      <c r="O477" s="127"/>
      <c r="P477" s="127"/>
    </row>
    <row r="478" spans="1:16" ht="75" x14ac:dyDescent="0.25">
      <c r="A478" s="164">
        <v>459</v>
      </c>
      <c r="B478" s="207"/>
      <c r="C478" s="12" t="s">
        <v>72</v>
      </c>
      <c r="D478" s="163" t="s">
        <v>73</v>
      </c>
      <c r="E478" s="112" t="s">
        <v>8</v>
      </c>
      <c r="F478" s="20">
        <f>3*2.2</f>
        <v>6.6000000000000005</v>
      </c>
      <c r="G478" s="13">
        <v>22.57</v>
      </c>
      <c r="H478" s="13">
        <f t="shared" si="31"/>
        <v>27.641479</v>
      </c>
      <c r="I478" s="13">
        <f t="shared" si="32"/>
        <v>182.43376140000001</v>
      </c>
      <c r="J478" s="126"/>
      <c r="K478" s="127"/>
      <c r="L478" s="127"/>
      <c r="M478" s="127"/>
      <c r="N478" s="127"/>
      <c r="O478" s="127"/>
      <c r="P478" s="127"/>
    </row>
    <row r="479" spans="1:16" ht="41.45" customHeight="1" x14ac:dyDescent="0.25">
      <c r="A479" s="164">
        <v>460</v>
      </c>
      <c r="B479" s="208" t="s">
        <v>135</v>
      </c>
      <c r="C479" s="208"/>
      <c r="D479" s="208"/>
      <c r="E479" s="208"/>
      <c r="F479" s="208"/>
      <c r="G479" s="208"/>
      <c r="H479" s="208"/>
      <c r="I479" s="30">
        <f>SUM(I480:I573)</f>
        <v>42058.057737567498</v>
      </c>
      <c r="J479" s="233"/>
      <c r="K479" s="234"/>
      <c r="L479" s="234"/>
      <c r="M479" s="234"/>
      <c r="N479" s="234"/>
      <c r="O479" s="234"/>
      <c r="P479" s="235"/>
    </row>
    <row r="480" spans="1:16" ht="30" x14ac:dyDescent="0.25">
      <c r="A480" s="164">
        <v>461</v>
      </c>
      <c r="B480" s="112"/>
      <c r="C480" s="150" t="s">
        <v>155</v>
      </c>
      <c r="D480" s="151" t="s">
        <v>154</v>
      </c>
      <c r="E480" s="112" t="s">
        <v>8</v>
      </c>
      <c r="F480" s="112">
        <v>2.88</v>
      </c>
      <c r="G480" s="112">
        <v>312.06</v>
      </c>
      <c r="H480" s="13">
        <f t="shared" ref="H480:H543" si="33">G480+G480*B$18</f>
        <v>382.17988200000002</v>
      </c>
      <c r="I480" s="13">
        <f t="shared" ref="I480:I543" si="34">H480*F480</f>
        <v>1100.6780601600001</v>
      </c>
      <c r="J480" s="126"/>
      <c r="K480" s="127"/>
      <c r="L480" s="127"/>
      <c r="M480" s="127"/>
      <c r="N480" s="127"/>
      <c r="O480" s="127"/>
      <c r="P480" s="127"/>
    </row>
    <row r="481" spans="1:16" ht="75" x14ac:dyDescent="0.25">
      <c r="A481" s="164">
        <v>462</v>
      </c>
      <c r="B481" s="209" t="s">
        <v>104</v>
      </c>
      <c r="C481" s="112" t="s">
        <v>150</v>
      </c>
      <c r="D481" s="163" t="s">
        <v>147</v>
      </c>
      <c r="E481" s="112" t="s">
        <v>146</v>
      </c>
      <c r="F481" s="112">
        <v>4</v>
      </c>
      <c r="G481" s="112">
        <v>12</v>
      </c>
      <c r="H481" s="13">
        <f t="shared" si="33"/>
        <v>14.696400000000001</v>
      </c>
      <c r="I481" s="13">
        <f t="shared" si="34"/>
        <v>58.785600000000002</v>
      </c>
      <c r="J481" s="126"/>
      <c r="K481" s="127"/>
      <c r="L481" s="127"/>
      <c r="M481" s="127"/>
      <c r="N481" s="127"/>
      <c r="O481" s="127"/>
      <c r="P481" s="127"/>
    </row>
    <row r="482" spans="1:16" ht="45" x14ac:dyDescent="0.25">
      <c r="A482" s="164">
        <v>463</v>
      </c>
      <c r="B482" s="209"/>
      <c r="C482" s="112" t="s">
        <v>149</v>
      </c>
      <c r="D482" s="163" t="s">
        <v>148</v>
      </c>
      <c r="E482" s="112" t="s">
        <v>19</v>
      </c>
      <c r="F482" s="112">
        <v>4</v>
      </c>
      <c r="G482" s="142">
        <v>6.52</v>
      </c>
      <c r="H482" s="13">
        <f t="shared" si="33"/>
        <v>7.9850439999999994</v>
      </c>
      <c r="I482" s="13">
        <f t="shared" si="34"/>
        <v>31.940175999999997</v>
      </c>
      <c r="J482" s="126"/>
      <c r="K482" s="127"/>
      <c r="L482" s="127"/>
      <c r="M482" s="127"/>
      <c r="N482" s="127"/>
      <c r="O482" s="127"/>
      <c r="P482" s="127"/>
    </row>
    <row r="483" spans="1:16" ht="45" x14ac:dyDescent="0.25">
      <c r="A483" s="164">
        <v>464</v>
      </c>
      <c r="B483" s="207" t="s">
        <v>114</v>
      </c>
      <c r="C483" s="12" t="s">
        <v>68</v>
      </c>
      <c r="D483" s="25" t="s">
        <v>69</v>
      </c>
      <c r="E483" s="112" t="s">
        <v>8</v>
      </c>
      <c r="F483" s="20">
        <f>24.6*2.8-F485</f>
        <v>61.8</v>
      </c>
      <c r="G483" s="13">
        <v>8.64</v>
      </c>
      <c r="H483" s="13">
        <f t="shared" si="33"/>
        <v>10.581408000000001</v>
      </c>
      <c r="I483" s="13">
        <f t="shared" si="34"/>
        <v>653.93101440000009</v>
      </c>
      <c r="J483" s="126"/>
      <c r="K483" s="127"/>
      <c r="L483" s="127"/>
      <c r="M483" s="127"/>
      <c r="N483" s="127"/>
      <c r="O483" s="127"/>
      <c r="P483" s="127"/>
    </row>
    <row r="484" spans="1:16" ht="60" x14ac:dyDescent="0.25">
      <c r="A484" s="164">
        <v>465</v>
      </c>
      <c r="B484" s="207"/>
      <c r="C484" s="12" t="s">
        <v>70</v>
      </c>
      <c r="D484" s="25" t="s">
        <v>71</v>
      </c>
      <c r="E484" s="112" t="s">
        <v>8</v>
      </c>
      <c r="F484" s="20">
        <f>F483</f>
        <v>61.8</v>
      </c>
      <c r="G484" s="13">
        <v>4.21</v>
      </c>
      <c r="H484" s="13">
        <f t="shared" si="33"/>
        <v>5.1559869999999997</v>
      </c>
      <c r="I484" s="13">
        <f t="shared" si="34"/>
        <v>318.63999659999996</v>
      </c>
      <c r="J484" s="126"/>
      <c r="K484" s="127"/>
      <c r="L484" s="127"/>
      <c r="M484" s="127"/>
      <c r="N484" s="127"/>
      <c r="O484" s="127"/>
      <c r="P484" s="127"/>
    </row>
    <row r="485" spans="1:16" ht="75" x14ac:dyDescent="0.25">
      <c r="A485" s="164">
        <v>466</v>
      </c>
      <c r="B485" s="207"/>
      <c r="C485" s="12" t="s">
        <v>72</v>
      </c>
      <c r="D485" s="163" t="s">
        <v>73</v>
      </c>
      <c r="E485" s="112" t="s">
        <v>8</v>
      </c>
      <c r="F485" s="20">
        <f>3*1.5*1.2+0.8*2.1</f>
        <v>7.08</v>
      </c>
      <c r="G485" s="13">
        <v>22.57</v>
      </c>
      <c r="H485" s="13">
        <f t="shared" si="33"/>
        <v>27.641479</v>
      </c>
      <c r="I485" s="13">
        <f t="shared" si="34"/>
        <v>195.70167132</v>
      </c>
      <c r="J485" s="126"/>
      <c r="K485" s="127"/>
      <c r="L485" s="127"/>
      <c r="M485" s="127"/>
      <c r="N485" s="127"/>
      <c r="O485" s="127"/>
      <c r="P485" s="127"/>
    </row>
    <row r="486" spans="1:16" ht="60" x14ac:dyDescent="0.25">
      <c r="A486" s="164">
        <v>467</v>
      </c>
      <c r="B486" s="207"/>
      <c r="C486" s="160" t="s">
        <v>74</v>
      </c>
      <c r="D486" s="163" t="s">
        <v>75</v>
      </c>
      <c r="E486" s="112" t="s">
        <v>8</v>
      </c>
      <c r="F486" s="20">
        <v>37.729999999999997</v>
      </c>
      <c r="G486" s="13">
        <v>14.14</v>
      </c>
      <c r="H486" s="13">
        <f t="shared" si="33"/>
        <v>17.317258000000002</v>
      </c>
      <c r="I486" s="13">
        <f t="shared" si="34"/>
        <v>653.38014434000002</v>
      </c>
      <c r="J486" s="126"/>
      <c r="K486" s="127"/>
      <c r="L486" s="127"/>
      <c r="M486" s="127"/>
      <c r="N486" s="127"/>
      <c r="O486" s="127"/>
      <c r="P486" s="127"/>
    </row>
    <row r="487" spans="1:16" ht="60" x14ac:dyDescent="0.25">
      <c r="A487" s="164">
        <v>468</v>
      </c>
      <c r="B487" s="207"/>
      <c r="C487" s="113" t="s">
        <v>76</v>
      </c>
      <c r="D487" s="42" t="s">
        <v>77</v>
      </c>
      <c r="E487" s="112" t="s">
        <v>8</v>
      </c>
      <c r="F487" s="20">
        <v>37.729999999999997</v>
      </c>
      <c r="G487" s="13">
        <v>5.28</v>
      </c>
      <c r="H487" s="13">
        <f t="shared" si="33"/>
        <v>6.4664160000000006</v>
      </c>
      <c r="I487" s="13">
        <f t="shared" si="34"/>
        <v>243.97787568000001</v>
      </c>
      <c r="J487" s="126"/>
      <c r="K487" s="127"/>
      <c r="L487" s="127"/>
      <c r="M487" s="127"/>
      <c r="N487" s="127"/>
      <c r="O487" s="127"/>
      <c r="P487" s="127"/>
    </row>
    <row r="488" spans="1:16" ht="45" x14ac:dyDescent="0.25">
      <c r="A488" s="164">
        <v>469</v>
      </c>
      <c r="B488" s="207" t="s">
        <v>115</v>
      </c>
      <c r="C488" s="12" t="s">
        <v>68</v>
      </c>
      <c r="D488" s="25" t="s">
        <v>69</v>
      </c>
      <c r="E488" s="112" t="s">
        <v>8</v>
      </c>
      <c r="F488" s="20">
        <f>24.6*2.8-F490</f>
        <v>63.599999999999994</v>
      </c>
      <c r="G488" s="13">
        <v>8.64</v>
      </c>
      <c r="H488" s="13">
        <f t="shared" si="33"/>
        <v>10.581408000000001</v>
      </c>
      <c r="I488" s="13">
        <f t="shared" si="34"/>
        <v>672.97754880000002</v>
      </c>
      <c r="J488" s="126"/>
      <c r="K488" s="127"/>
      <c r="L488" s="127"/>
      <c r="M488" s="127"/>
      <c r="N488" s="127"/>
      <c r="O488" s="127"/>
      <c r="P488" s="127"/>
    </row>
    <row r="489" spans="1:16" ht="60" x14ac:dyDescent="0.25">
      <c r="A489" s="164">
        <v>470</v>
      </c>
      <c r="B489" s="207"/>
      <c r="C489" s="12" t="s">
        <v>70</v>
      </c>
      <c r="D489" s="25" t="s">
        <v>71</v>
      </c>
      <c r="E489" s="112" t="s">
        <v>8</v>
      </c>
      <c r="F489" s="20">
        <f>F488</f>
        <v>63.599999999999994</v>
      </c>
      <c r="G489" s="13">
        <v>4.21</v>
      </c>
      <c r="H489" s="13">
        <f t="shared" si="33"/>
        <v>5.1559869999999997</v>
      </c>
      <c r="I489" s="13">
        <f t="shared" si="34"/>
        <v>327.92077319999993</v>
      </c>
      <c r="J489" s="126"/>
      <c r="K489" s="127"/>
      <c r="L489" s="127"/>
      <c r="M489" s="127"/>
      <c r="N489" s="127"/>
      <c r="O489" s="127"/>
      <c r="P489" s="127"/>
    </row>
    <row r="490" spans="1:16" ht="75" x14ac:dyDescent="0.25">
      <c r="A490" s="164">
        <v>471</v>
      </c>
      <c r="B490" s="207"/>
      <c r="C490" s="12" t="s">
        <v>72</v>
      </c>
      <c r="D490" s="163" t="s">
        <v>73</v>
      </c>
      <c r="E490" s="112" t="s">
        <v>8</v>
      </c>
      <c r="F490" s="20">
        <f>2*1.5*1.2+0.8*2.1</f>
        <v>5.2799999999999994</v>
      </c>
      <c r="G490" s="13">
        <v>22.57</v>
      </c>
      <c r="H490" s="13">
        <f t="shared" si="33"/>
        <v>27.641479</v>
      </c>
      <c r="I490" s="13">
        <f t="shared" si="34"/>
        <v>145.94700911999999</v>
      </c>
      <c r="J490" s="126"/>
      <c r="K490" s="127"/>
      <c r="L490" s="127"/>
      <c r="M490" s="127"/>
      <c r="N490" s="127"/>
      <c r="O490" s="127"/>
      <c r="P490" s="127"/>
    </row>
    <row r="491" spans="1:16" ht="60" x14ac:dyDescent="0.25">
      <c r="A491" s="164">
        <v>472</v>
      </c>
      <c r="B491" s="207"/>
      <c r="C491" s="160" t="s">
        <v>74</v>
      </c>
      <c r="D491" s="163" t="s">
        <v>75</v>
      </c>
      <c r="E491" s="112" t="s">
        <v>8</v>
      </c>
      <c r="F491" s="20">
        <v>37.729999999999997</v>
      </c>
      <c r="G491" s="13">
        <v>14.14</v>
      </c>
      <c r="H491" s="13">
        <f t="shared" si="33"/>
        <v>17.317258000000002</v>
      </c>
      <c r="I491" s="13">
        <f t="shared" si="34"/>
        <v>653.38014434000002</v>
      </c>
      <c r="J491" s="126"/>
      <c r="K491" s="127"/>
      <c r="L491" s="127"/>
      <c r="M491" s="127"/>
      <c r="N491" s="127"/>
      <c r="O491" s="127"/>
      <c r="P491" s="127"/>
    </row>
    <row r="492" spans="1:16" ht="60" x14ac:dyDescent="0.25">
      <c r="A492" s="164">
        <v>473</v>
      </c>
      <c r="B492" s="207"/>
      <c r="C492" s="113" t="s">
        <v>76</v>
      </c>
      <c r="D492" s="42" t="s">
        <v>77</v>
      </c>
      <c r="E492" s="112" t="s">
        <v>8</v>
      </c>
      <c r="F492" s="20">
        <v>37.729999999999997</v>
      </c>
      <c r="G492" s="13">
        <v>5.28</v>
      </c>
      <c r="H492" s="13">
        <f t="shared" si="33"/>
        <v>6.4664160000000006</v>
      </c>
      <c r="I492" s="13">
        <f t="shared" si="34"/>
        <v>243.97787568000001</v>
      </c>
      <c r="J492" s="126"/>
      <c r="K492" s="127"/>
      <c r="L492" s="127"/>
      <c r="M492" s="127"/>
      <c r="N492" s="127"/>
      <c r="O492" s="127"/>
      <c r="P492" s="127"/>
    </row>
    <row r="493" spans="1:16" ht="45" x14ac:dyDescent="0.25">
      <c r="A493" s="164">
        <v>474</v>
      </c>
      <c r="B493" s="207" t="s">
        <v>103</v>
      </c>
      <c r="C493" s="12" t="s">
        <v>68</v>
      </c>
      <c r="D493" s="25" t="s">
        <v>69</v>
      </c>
      <c r="E493" s="112" t="s">
        <v>8</v>
      </c>
      <c r="F493" s="20">
        <f>24.6*2.8-F495</f>
        <v>61.919999999999995</v>
      </c>
      <c r="G493" s="13">
        <v>8.64</v>
      </c>
      <c r="H493" s="13">
        <f t="shared" si="33"/>
        <v>10.581408000000001</v>
      </c>
      <c r="I493" s="13">
        <f t="shared" si="34"/>
        <v>655.20078336000006</v>
      </c>
      <c r="J493" s="126"/>
      <c r="K493" s="127"/>
      <c r="L493" s="127"/>
      <c r="M493" s="127"/>
      <c r="N493" s="127"/>
      <c r="O493" s="127"/>
      <c r="P493" s="127"/>
    </row>
    <row r="494" spans="1:16" ht="60" x14ac:dyDescent="0.25">
      <c r="A494" s="164">
        <v>475</v>
      </c>
      <c r="B494" s="207"/>
      <c r="C494" s="12" t="s">
        <v>70</v>
      </c>
      <c r="D494" s="25" t="s">
        <v>71</v>
      </c>
      <c r="E494" s="112" t="s">
        <v>8</v>
      </c>
      <c r="F494" s="20">
        <f>F493</f>
        <v>61.919999999999995</v>
      </c>
      <c r="G494" s="13">
        <v>4.21</v>
      </c>
      <c r="H494" s="13">
        <f t="shared" si="33"/>
        <v>5.1559869999999997</v>
      </c>
      <c r="I494" s="13">
        <f t="shared" si="34"/>
        <v>319.25871503999997</v>
      </c>
      <c r="J494" s="126"/>
      <c r="K494" s="127"/>
      <c r="L494" s="127"/>
      <c r="M494" s="127"/>
      <c r="N494" s="127"/>
      <c r="O494" s="127"/>
      <c r="P494" s="127"/>
    </row>
    <row r="495" spans="1:16" ht="75" x14ac:dyDescent="0.25">
      <c r="A495" s="164">
        <v>476</v>
      </c>
      <c r="B495" s="207"/>
      <c r="C495" s="12" t="s">
        <v>72</v>
      </c>
      <c r="D495" s="163" t="s">
        <v>73</v>
      </c>
      <c r="E495" s="112" t="s">
        <v>8</v>
      </c>
      <c r="F495" s="20">
        <f>2*1.5*1.2+2*0.8*2.1</f>
        <v>6.96</v>
      </c>
      <c r="G495" s="13">
        <v>22.57</v>
      </c>
      <c r="H495" s="13">
        <f t="shared" si="33"/>
        <v>27.641479</v>
      </c>
      <c r="I495" s="13">
        <f t="shared" si="34"/>
        <v>192.38469384000001</v>
      </c>
      <c r="J495" s="126"/>
      <c r="K495" s="127"/>
      <c r="L495" s="127"/>
      <c r="M495" s="127"/>
      <c r="N495" s="127"/>
      <c r="O495" s="127"/>
      <c r="P495" s="127"/>
    </row>
    <row r="496" spans="1:16" ht="60" x14ac:dyDescent="0.25">
      <c r="A496" s="164">
        <v>477</v>
      </c>
      <c r="B496" s="207"/>
      <c r="C496" s="160" t="s">
        <v>74</v>
      </c>
      <c r="D496" s="163" t="s">
        <v>75</v>
      </c>
      <c r="E496" s="112" t="s">
        <v>8</v>
      </c>
      <c r="F496" s="20">
        <v>37.729999999999997</v>
      </c>
      <c r="G496" s="13">
        <v>14.14</v>
      </c>
      <c r="H496" s="13">
        <f t="shared" si="33"/>
        <v>17.317258000000002</v>
      </c>
      <c r="I496" s="13">
        <f t="shared" si="34"/>
        <v>653.38014434000002</v>
      </c>
      <c r="J496" s="126"/>
      <c r="K496" s="127"/>
      <c r="L496" s="127"/>
      <c r="M496" s="127"/>
      <c r="N496" s="127"/>
      <c r="O496" s="127"/>
      <c r="P496" s="127"/>
    </row>
    <row r="497" spans="1:16" ht="60" x14ac:dyDescent="0.25">
      <c r="A497" s="164">
        <v>478</v>
      </c>
      <c r="B497" s="207"/>
      <c r="C497" s="113" t="s">
        <v>76</v>
      </c>
      <c r="D497" s="42" t="s">
        <v>77</v>
      </c>
      <c r="E497" s="112" t="s">
        <v>8</v>
      </c>
      <c r="F497" s="20">
        <v>37.729999999999997</v>
      </c>
      <c r="G497" s="13">
        <v>5.28</v>
      </c>
      <c r="H497" s="13">
        <f t="shared" si="33"/>
        <v>6.4664160000000006</v>
      </c>
      <c r="I497" s="13">
        <f t="shared" si="34"/>
        <v>243.97787568000001</v>
      </c>
      <c r="J497" s="126"/>
      <c r="K497" s="127"/>
      <c r="L497" s="127"/>
      <c r="M497" s="127"/>
      <c r="N497" s="127"/>
      <c r="O497" s="127"/>
      <c r="P497" s="127"/>
    </row>
    <row r="498" spans="1:16" ht="45" x14ac:dyDescent="0.25">
      <c r="A498" s="164">
        <v>479</v>
      </c>
      <c r="B498" s="207" t="s">
        <v>116</v>
      </c>
      <c r="C498" s="12" t="s">
        <v>68</v>
      </c>
      <c r="D498" s="25" t="s">
        <v>69</v>
      </c>
      <c r="E498" s="112" t="s">
        <v>8</v>
      </c>
      <c r="F498" s="20">
        <f>19.9*2.8-F500</f>
        <v>50.439999999999991</v>
      </c>
      <c r="G498" s="13">
        <v>8.64</v>
      </c>
      <c r="H498" s="13">
        <f t="shared" si="33"/>
        <v>10.581408000000001</v>
      </c>
      <c r="I498" s="13">
        <f t="shared" si="34"/>
        <v>533.72621951999997</v>
      </c>
      <c r="J498" s="126"/>
      <c r="K498" s="127"/>
      <c r="L498" s="127"/>
      <c r="M498" s="127"/>
      <c r="N498" s="127"/>
      <c r="O498" s="127"/>
      <c r="P498" s="127"/>
    </row>
    <row r="499" spans="1:16" ht="60" x14ac:dyDescent="0.25">
      <c r="A499" s="164">
        <v>480</v>
      </c>
      <c r="B499" s="207"/>
      <c r="C499" s="12" t="s">
        <v>70</v>
      </c>
      <c r="D499" s="25" t="s">
        <v>71</v>
      </c>
      <c r="E499" s="112" t="s">
        <v>8</v>
      </c>
      <c r="F499" s="20">
        <f>F498</f>
        <v>50.439999999999991</v>
      </c>
      <c r="G499" s="13">
        <v>4.21</v>
      </c>
      <c r="H499" s="13">
        <f t="shared" si="33"/>
        <v>5.1559869999999997</v>
      </c>
      <c r="I499" s="13">
        <f t="shared" si="34"/>
        <v>260.06798427999996</v>
      </c>
      <c r="J499" s="126"/>
      <c r="K499" s="127"/>
      <c r="L499" s="127"/>
      <c r="M499" s="127"/>
      <c r="N499" s="127"/>
      <c r="O499" s="127"/>
      <c r="P499" s="127"/>
    </row>
    <row r="500" spans="1:16" ht="75" x14ac:dyDescent="0.25">
      <c r="A500" s="164">
        <v>481</v>
      </c>
      <c r="B500" s="207"/>
      <c r="C500" s="12" t="s">
        <v>72</v>
      </c>
      <c r="D500" s="163" t="s">
        <v>73</v>
      </c>
      <c r="E500" s="112" t="s">
        <v>8</v>
      </c>
      <c r="F500" s="20">
        <f>2*1.5*1.2+0.8*2.1</f>
        <v>5.2799999999999994</v>
      </c>
      <c r="G500" s="13">
        <v>22.57</v>
      </c>
      <c r="H500" s="13">
        <f t="shared" si="33"/>
        <v>27.641479</v>
      </c>
      <c r="I500" s="13">
        <f t="shared" si="34"/>
        <v>145.94700911999999</v>
      </c>
      <c r="J500" s="126"/>
      <c r="K500" s="127"/>
      <c r="L500" s="127"/>
      <c r="M500" s="127"/>
      <c r="N500" s="127"/>
      <c r="O500" s="127"/>
      <c r="P500" s="127"/>
    </row>
    <row r="501" spans="1:16" ht="60" x14ac:dyDescent="0.25">
      <c r="A501" s="164">
        <v>482</v>
      </c>
      <c r="B501" s="207"/>
      <c r="C501" s="160" t="s">
        <v>74</v>
      </c>
      <c r="D501" s="163" t="s">
        <v>75</v>
      </c>
      <c r="E501" s="112" t="s">
        <v>8</v>
      </c>
      <c r="F501" s="20">
        <v>18.13</v>
      </c>
      <c r="G501" s="13">
        <v>14.14</v>
      </c>
      <c r="H501" s="13">
        <f t="shared" si="33"/>
        <v>17.317258000000002</v>
      </c>
      <c r="I501" s="13">
        <f t="shared" si="34"/>
        <v>313.96188754000002</v>
      </c>
      <c r="J501" s="126"/>
      <c r="K501" s="127"/>
      <c r="L501" s="127"/>
      <c r="M501" s="127"/>
      <c r="N501" s="127"/>
      <c r="O501" s="127"/>
      <c r="P501" s="127"/>
    </row>
    <row r="502" spans="1:16" ht="60" x14ac:dyDescent="0.25">
      <c r="A502" s="164">
        <v>483</v>
      </c>
      <c r="B502" s="207"/>
      <c r="C502" s="113" t="s">
        <v>76</v>
      </c>
      <c r="D502" s="42" t="s">
        <v>77</v>
      </c>
      <c r="E502" s="112" t="s">
        <v>8</v>
      </c>
      <c r="F502" s="20">
        <v>18.13</v>
      </c>
      <c r="G502" s="13">
        <v>5.28</v>
      </c>
      <c r="H502" s="13">
        <f t="shared" si="33"/>
        <v>6.4664160000000006</v>
      </c>
      <c r="I502" s="13">
        <f t="shared" si="34"/>
        <v>117.23612208</v>
      </c>
      <c r="J502" s="126"/>
      <c r="K502" s="127"/>
      <c r="L502" s="127"/>
      <c r="M502" s="127"/>
      <c r="N502" s="127"/>
      <c r="O502" s="127"/>
      <c r="P502" s="127"/>
    </row>
    <row r="503" spans="1:16" ht="45" x14ac:dyDescent="0.25">
      <c r="A503" s="164">
        <v>484</v>
      </c>
      <c r="B503" s="207" t="s">
        <v>117</v>
      </c>
      <c r="C503" s="12" t="s">
        <v>68</v>
      </c>
      <c r="D503" s="25" t="s">
        <v>69</v>
      </c>
      <c r="E503" s="112" t="s">
        <v>8</v>
      </c>
      <c r="F503" s="20">
        <f>28*2.8-F505</f>
        <v>69.52</v>
      </c>
      <c r="G503" s="13">
        <v>8.64</v>
      </c>
      <c r="H503" s="13">
        <f t="shared" si="33"/>
        <v>10.581408000000001</v>
      </c>
      <c r="I503" s="13">
        <f t="shared" si="34"/>
        <v>735.61948416000007</v>
      </c>
      <c r="J503" s="126"/>
      <c r="K503" s="127"/>
      <c r="L503" s="127"/>
      <c r="M503" s="127"/>
      <c r="N503" s="127"/>
      <c r="O503" s="127"/>
      <c r="P503" s="127"/>
    </row>
    <row r="504" spans="1:16" ht="60" x14ac:dyDescent="0.25">
      <c r="A504" s="164">
        <v>485</v>
      </c>
      <c r="B504" s="207"/>
      <c r="C504" s="12" t="s">
        <v>70</v>
      </c>
      <c r="D504" s="25" t="s">
        <v>71</v>
      </c>
      <c r="E504" s="112" t="s">
        <v>8</v>
      </c>
      <c r="F504" s="20">
        <f>F503</f>
        <v>69.52</v>
      </c>
      <c r="G504" s="13">
        <v>4.21</v>
      </c>
      <c r="H504" s="13">
        <f t="shared" si="33"/>
        <v>5.1559869999999997</v>
      </c>
      <c r="I504" s="13">
        <f t="shared" si="34"/>
        <v>358.44421623999995</v>
      </c>
      <c r="J504" s="126"/>
      <c r="K504" s="127"/>
      <c r="L504" s="127"/>
      <c r="M504" s="127"/>
      <c r="N504" s="127"/>
      <c r="O504" s="127"/>
      <c r="P504" s="127"/>
    </row>
    <row r="505" spans="1:16" ht="75" x14ac:dyDescent="0.25">
      <c r="A505" s="164">
        <v>486</v>
      </c>
      <c r="B505" s="207"/>
      <c r="C505" s="12" t="s">
        <v>72</v>
      </c>
      <c r="D505" s="163" t="s">
        <v>73</v>
      </c>
      <c r="E505" s="112" t="s">
        <v>8</v>
      </c>
      <c r="F505" s="20">
        <f>4*1.5*1.2+0.8*2.1</f>
        <v>8.879999999999999</v>
      </c>
      <c r="G505" s="13">
        <v>22.57</v>
      </c>
      <c r="H505" s="13">
        <f t="shared" si="33"/>
        <v>27.641479</v>
      </c>
      <c r="I505" s="13">
        <f t="shared" si="34"/>
        <v>245.45633351999999</v>
      </c>
      <c r="J505" s="126"/>
      <c r="K505" s="127"/>
      <c r="L505" s="127"/>
      <c r="M505" s="127"/>
      <c r="N505" s="127"/>
      <c r="O505" s="127"/>
      <c r="P505" s="127"/>
    </row>
    <row r="506" spans="1:16" ht="60" x14ac:dyDescent="0.25">
      <c r="A506" s="164">
        <v>487</v>
      </c>
      <c r="B506" s="207"/>
      <c r="C506" s="160" t="s">
        <v>74</v>
      </c>
      <c r="D506" s="163" t="s">
        <v>75</v>
      </c>
      <c r="E506" s="112" t="s">
        <v>8</v>
      </c>
      <c r="F506" s="20">
        <v>45.19</v>
      </c>
      <c r="G506" s="13">
        <v>14.14</v>
      </c>
      <c r="H506" s="13">
        <f t="shared" si="33"/>
        <v>17.317258000000002</v>
      </c>
      <c r="I506" s="13">
        <f t="shared" si="34"/>
        <v>782.56688902000008</v>
      </c>
      <c r="J506" s="126"/>
      <c r="K506" s="127"/>
      <c r="L506" s="127"/>
      <c r="M506" s="127"/>
      <c r="N506" s="127"/>
      <c r="O506" s="127"/>
      <c r="P506" s="127"/>
    </row>
    <row r="507" spans="1:16" ht="60" x14ac:dyDescent="0.25">
      <c r="A507" s="164">
        <v>488</v>
      </c>
      <c r="B507" s="207"/>
      <c r="C507" s="113" t="s">
        <v>76</v>
      </c>
      <c r="D507" s="42" t="s">
        <v>77</v>
      </c>
      <c r="E507" s="112" t="s">
        <v>8</v>
      </c>
      <c r="F507" s="20">
        <v>45.19</v>
      </c>
      <c r="G507" s="13">
        <v>5.28</v>
      </c>
      <c r="H507" s="13">
        <f t="shared" si="33"/>
        <v>6.4664160000000006</v>
      </c>
      <c r="I507" s="13">
        <f t="shared" si="34"/>
        <v>292.21733904000001</v>
      </c>
      <c r="J507" s="126"/>
      <c r="K507" s="127"/>
      <c r="L507" s="127"/>
      <c r="M507" s="127"/>
      <c r="N507" s="127"/>
      <c r="O507" s="127"/>
      <c r="P507" s="127"/>
    </row>
    <row r="508" spans="1:16" ht="45" x14ac:dyDescent="0.25">
      <c r="A508" s="164">
        <v>489</v>
      </c>
      <c r="B508" s="207" t="s">
        <v>118</v>
      </c>
      <c r="C508" s="12" t="s">
        <v>68</v>
      </c>
      <c r="D508" s="25" t="s">
        <v>69</v>
      </c>
      <c r="E508" s="112" t="s">
        <v>8</v>
      </c>
      <c r="F508" s="20">
        <f>24.5*2.8-F510</f>
        <v>63.319999999999993</v>
      </c>
      <c r="G508" s="13">
        <v>8.64</v>
      </c>
      <c r="H508" s="13">
        <f t="shared" si="33"/>
        <v>10.581408000000001</v>
      </c>
      <c r="I508" s="13">
        <f t="shared" si="34"/>
        <v>670.01475456000003</v>
      </c>
      <c r="J508" s="126"/>
      <c r="K508" s="127"/>
      <c r="L508" s="127"/>
      <c r="M508" s="127"/>
      <c r="N508" s="127"/>
      <c r="O508" s="127"/>
      <c r="P508" s="127"/>
    </row>
    <row r="509" spans="1:16" ht="60" x14ac:dyDescent="0.25">
      <c r="A509" s="164">
        <v>490</v>
      </c>
      <c r="B509" s="207"/>
      <c r="C509" s="12" t="s">
        <v>70</v>
      </c>
      <c r="D509" s="25" t="s">
        <v>71</v>
      </c>
      <c r="E509" s="112" t="s">
        <v>8</v>
      </c>
      <c r="F509" s="20">
        <f>F508</f>
        <v>63.319999999999993</v>
      </c>
      <c r="G509" s="13">
        <v>4.21</v>
      </c>
      <c r="H509" s="13">
        <f t="shared" si="33"/>
        <v>5.1559869999999997</v>
      </c>
      <c r="I509" s="13">
        <f t="shared" si="34"/>
        <v>326.47709683999994</v>
      </c>
      <c r="J509" s="126"/>
      <c r="K509" s="127"/>
      <c r="L509" s="127"/>
      <c r="M509" s="127"/>
      <c r="N509" s="127"/>
      <c r="O509" s="127"/>
      <c r="P509" s="127"/>
    </row>
    <row r="510" spans="1:16" ht="75" x14ac:dyDescent="0.25">
      <c r="A510" s="164">
        <v>491</v>
      </c>
      <c r="B510" s="207"/>
      <c r="C510" s="12" t="s">
        <v>72</v>
      </c>
      <c r="D510" s="163" t="s">
        <v>73</v>
      </c>
      <c r="E510" s="112" t="s">
        <v>8</v>
      </c>
      <c r="F510" s="20">
        <f>2*1.5*1.2+0.8*2.1</f>
        <v>5.2799999999999994</v>
      </c>
      <c r="G510" s="13">
        <v>22.57</v>
      </c>
      <c r="H510" s="13">
        <f t="shared" si="33"/>
        <v>27.641479</v>
      </c>
      <c r="I510" s="13">
        <f t="shared" si="34"/>
        <v>145.94700911999999</v>
      </c>
      <c r="J510" s="126"/>
      <c r="K510" s="127"/>
      <c r="L510" s="127"/>
      <c r="M510" s="127"/>
      <c r="N510" s="127"/>
      <c r="O510" s="127"/>
      <c r="P510" s="127"/>
    </row>
    <row r="511" spans="1:16" ht="60" x14ac:dyDescent="0.25">
      <c r="A511" s="164">
        <v>492</v>
      </c>
      <c r="B511" s="207"/>
      <c r="C511" s="160" t="s">
        <v>74</v>
      </c>
      <c r="D511" s="163" t="s">
        <v>75</v>
      </c>
      <c r="E511" s="112" t="s">
        <v>8</v>
      </c>
      <c r="F511" s="20">
        <v>37.409999999999997</v>
      </c>
      <c r="G511" s="13">
        <v>14.14</v>
      </c>
      <c r="H511" s="13">
        <f t="shared" si="33"/>
        <v>17.317258000000002</v>
      </c>
      <c r="I511" s="13">
        <f t="shared" si="34"/>
        <v>647.83862178000004</v>
      </c>
      <c r="J511" s="126"/>
      <c r="K511" s="127"/>
      <c r="L511" s="127"/>
      <c r="M511" s="127"/>
      <c r="N511" s="127"/>
      <c r="O511" s="127"/>
      <c r="P511" s="127"/>
    </row>
    <row r="512" spans="1:16" ht="60" x14ac:dyDescent="0.25">
      <c r="A512" s="164">
        <v>493</v>
      </c>
      <c r="B512" s="207"/>
      <c r="C512" s="113" t="s">
        <v>76</v>
      </c>
      <c r="D512" s="42" t="s">
        <v>77</v>
      </c>
      <c r="E512" s="112" t="s">
        <v>8</v>
      </c>
      <c r="F512" s="20">
        <v>37.409999999999997</v>
      </c>
      <c r="G512" s="13">
        <v>5.28</v>
      </c>
      <c r="H512" s="13">
        <f t="shared" si="33"/>
        <v>6.4664160000000006</v>
      </c>
      <c r="I512" s="13">
        <f t="shared" si="34"/>
        <v>241.90862256</v>
      </c>
      <c r="J512" s="126"/>
      <c r="K512" s="127"/>
      <c r="L512" s="127"/>
      <c r="M512" s="127"/>
      <c r="N512" s="127"/>
      <c r="O512" s="127"/>
      <c r="P512" s="127"/>
    </row>
    <row r="513" spans="1:16" ht="45" x14ac:dyDescent="0.25">
      <c r="A513" s="164">
        <v>494</v>
      </c>
      <c r="B513" s="207" t="s">
        <v>126</v>
      </c>
      <c r="C513" s="12" t="s">
        <v>68</v>
      </c>
      <c r="D513" s="25" t="s">
        <v>69</v>
      </c>
      <c r="E513" s="112" t="s">
        <v>8</v>
      </c>
      <c r="F513" s="20">
        <f>24.5*2.8-F515</f>
        <v>63.319999999999993</v>
      </c>
      <c r="G513" s="13">
        <v>8.64</v>
      </c>
      <c r="H513" s="13">
        <f t="shared" si="33"/>
        <v>10.581408000000001</v>
      </c>
      <c r="I513" s="13">
        <f t="shared" si="34"/>
        <v>670.01475456000003</v>
      </c>
      <c r="J513" s="126"/>
      <c r="K513" s="127"/>
      <c r="L513" s="127"/>
      <c r="M513" s="127"/>
      <c r="N513" s="127"/>
      <c r="O513" s="127"/>
      <c r="P513" s="127"/>
    </row>
    <row r="514" spans="1:16" ht="60" x14ac:dyDescent="0.25">
      <c r="A514" s="164">
        <v>495</v>
      </c>
      <c r="B514" s="207"/>
      <c r="C514" s="12" t="s">
        <v>70</v>
      </c>
      <c r="D514" s="25" t="s">
        <v>71</v>
      </c>
      <c r="E514" s="112" t="s">
        <v>8</v>
      </c>
      <c r="F514" s="20">
        <f>F513</f>
        <v>63.319999999999993</v>
      </c>
      <c r="G514" s="13">
        <v>4.21</v>
      </c>
      <c r="H514" s="13">
        <f t="shared" si="33"/>
        <v>5.1559869999999997</v>
      </c>
      <c r="I514" s="13">
        <f t="shared" si="34"/>
        <v>326.47709683999994</v>
      </c>
      <c r="J514" s="126"/>
      <c r="K514" s="127"/>
      <c r="L514" s="127"/>
      <c r="M514" s="127"/>
      <c r="N514" s="127"/>
      <c r="O514" s="127"/>
      <c r="P514" s="127"/>
    </row>
    <row r="515" spans="1:16" ht="75" x14ac:dyDescent="0.25">
      <c r="A515" s="164">
        <v>496</v>
      </c>
      <c r="B515" s="207"/>
      <c r="C515" s="12" t="s">
        <v>72</v>
      </c>
      <c r="D515" s="163" t="s">
        <v>73</v>
      </c>
      <c r="E515" s="112" t="s">
        <v>8</v>
      </c>
      <c r="F515" s="20">
        <f>2*1.5*1.2+0.8*2.1</f>
        <v>5.2799999999999994</v>
      </c>
      <c r="G515" s="13">
        <v>22.57</v>
      </c>
      <c r="H515" s="13">
        <f t="shared" si="33"/>
        <v>27.641479</v>
      </c>
      <c r="I515" s="13">
        <f t="shared" si="34"/>
        <v>145.94700911999999</v>
      </c>
      <c r="J515" s="126"/>
      <c r="K515" s="127"/>
      <c r="L515" s="127"/>
      <c r="M515" s="127"/>
      <c r="N515" s="127"/>
      <c r="O515" s="127"/>
      <c r="P515" s="127"/>
    </row>
    <row r="516" spans="1:16" ht="60" x14ac:dyDescent="0.25">
      <c r="A516" s="164">
        <v>497</v>
      </c>
      <c r="B516" s="207"/>
      <c r="C516" s="160" t="s">
        <v>74</v>
      </c>
      <c r="D516" s="163" t="s">
        <v>75</v>
      </c>
      <c r="E516" s="112" t="s">
        <v>8</v>
      </c>
      <c r="F516" s="20">
        <v>37.409999999999997</v>
      </c>
      <c r="G516" s="13">
        <v>14.14</v>
      </c>
      <c r="H516" s="13">
        <f t="shared" si="33"/>
        <v>17.317258000000002</v>
      </c>
      <c r="I516" s="13">
        <f t="shared" si="34"/>
        <v>647.83862178000004</v>
      </c>
      <c r="J516" s="126"/>
      <c r="K516" s="127"/>
      <c r="L516" s="127"/>
      <c r="M516" s="127"/>
      <c r="N516" s="127"/>
      <c r="O516" s="127"/>
      <c r="P516" s="127"/>
    </row>
    <row r="517" spans="1:16" ht="60" x14ac:dyDescent="0.25">
      <c r="A517" s="164">
        <v>498</v>
      </c>
      <c r="B517" s="207"/>
      <c r="C517" s="113" t="s">
        <v>76</v>
      </c>
      <c r="D517" s="42" t="s">
        <v>77</v>
      </c>
      <c r="E517" s="112" t="s">
        <v>8</v>
      </c>
      <c r="F517" s="20">
        <v>37.409999999999997</v>
      </c>
      <c r="G517" s="13">
        <v>5.28</v>
      </c>
      <c r="H517" s="13">
        <f t="shared" si="33"/>
        <v>6.4664160000000006</v>
      </c>
      <c r="I517" s="13">
        <f t="shared" si="34"/>
        <v>241.90862256</v>
      </c>
      <c r="J517" s="126"/>
      <c r="K517" s="127"/>
      <c r="L517" s="127"/>
      <c r="M517" s="127"/>
      <c r="N517" s="127"/>
      <c r="O517" s="127"/>
      <c r="P517" s="127"/>
    </row>
    <row r="518" spans="1:16" ht="45" x14ac:dyDescent="0.25">
      <c r="A518" s="164">
        <v>499</v>
      </c>
      <c r="B518" s="207" t="s">
        <v>127</v>
      </c>
      <c r="C518" s="12" t="s">
        <v>68</v>
      </c>
      <c r="D518" s="25" t="s">
        <v>69</v>
      </c>
      <c r="E518" s="112" t="s">
        <v>8</v>
      </c>
      <c r="F518" s="20">
        <f>24.5*2.8-F520</f>
        <v>61.519999999999996</v>
      </c>
      <c r="G518" s="13">
        <v>8.64</v>
      </c>
      <c r="H518" s="13">
        <f t="shared" si="33"/>
        <v>10.581408000000001</v>
      </c>
      <c r="I518" s="13">
        <f t="shared" si="34"/>
        <v>650.9682201600001</v>
      </c>
      <c r="J518" s="126"/>
      <c r="K518" s="127"/>
      <c r="L518" s="127"/>
      <c r="M518" s="127"/>
      <c r="N518" s="127"/>
      <c r="O518" s="127"/>
      <c r="P518" s="127"/>
    </row>
    <row r="519" spans="1:16" ht="60" x14ac:dyDescent="0.25">
      <c r="A519" s="164">
        <v>500</v>
      </c>
      <c r="B519" s="207"/>
      <c r="C519" s="12" t="s">
        <v>70</v>
      </c>
      <c r="D519" s="25" t="s">
        <v>71</v>
      </c>
      <c r="E519" s="112" t="s">
        <v>8</v>
      </c>
      <c r="F519" s="20">
        <f>F518</f>
        <v>61.519999999999996</v>
      </c>
      <c r="G519" s="13">
        <v>4.21</v>
      </c>
      <c r="H519" s="13">
        <f t="shared" si="33"/>
        <v>5.1559869999999997</v>
      </c>
      <c r="I519" s="13">
        <f t="shared" si="34"/>
        <v>317.19632023999998</v>
      </c>
      <c r="J519" s="126"/>
      <c r="K519" s="127"/>
      <c r="L519" s="127"/>
      <c r="M519" s="127"/>
      <c r="N519" s="127"/>
      <c r="O519" s="127"/>
      <c r="P519" s="127"/>
    </row>
    <row r="520" spans="1:16" ht="75" x14ac:dyDescent="0.25">
      <c r="A520" s="164">
        <v>501</v>
      </c>
      <c r="B520" s="207"/>
      <c r="C520" s="12" t="s">
        <v>72</v>
      </c>
      <c r="D520" s="163" t="s">
        <v>73</v>
      </c>
      <c r="E520" s="112" t="s">
        <v>8</v>
      </c>
      <c r="F520" s="20">
        <f>3*1.5*1.2+0.8*2.1</f>
        <v>7.08</v>
      </c>
      <c r="G520" s="13">
        <v>22.57</v>
      </c>
      <c r="H520" s="13">
        <f t="shared" si="33"/>
        <v>27.641479</v>
      </c>
      <c r="I520" s="13">
        <f t="shared" si="34"/>
        <v>195.70167132</v>
      </c>
      <c r="J520" s="126"/>
      <c r="K520" s="127"/>
      <c r="L520" s="127"/>
      <c r="M520" s="127"/>
      <c r="N520" s="127"/>
      <c r="O520" s="127"/>
      <c r="P520" s="127"/>
    </row>
    <row r="521" spans="1:16" ht="60" x14ac:dyDescent="0.25">
      <c r="A521" s="164">
        <v>502</v>
      </c>
      <c r="B521" s="207"/>
      <c r="C521" s="160" t="s">
        <v>74</v>
      </c>
      <c r="D521" s="163" t="s">
        <v>75</v>
      </c>
      <c r="E521" s="112" t="s">
        <v>8</v>
      </c>
      <c r="F521" s="20">
        <v>37.409999999999997</v>
      </c>
      <c r="G521" s="13">
        <v>14.14</v>
      </c>
      <c r="H521" s="13">
        <f t="shared" si="33"/>
        <v>17.317258000000002</v>
      </c>
      <c r="I521" s="13">
        <f t="shared" si="34"/>
        <v>647.83862178000004</v>
      </c>
      <c r="J521" s="126"/>
      <c r="K521" s="127"/>
      <c r="L521" s="127"/>
      <c r="M521" s="127"/>
      <c r="N521" s="127"/>
      <c r="O521" s="127"/>
      <c r="P521" s="127"/>
    </row>
    <row r="522" spans="1:16" ht="60" x14ac:dyDescent="0.25">
      <c r="A522" s="164">
        <v>503</v>
      </c>
      <c r="B522" s="207"/>
      <c r="C522" s="113" t="s">
        <v>76</v>
      </c>
      <c r="D522" s="42" t="s">
        <v>77</v>
      </c>
      <c r="E522" s="112" t="s">
        <v>8</v>
      </c>
      <c r="F522" s="20">
        <v>37.409999999999997</v>
      </c>
      <c r="G522" s="13">
        <v>5.28</v>
      </c>
      <c r="H522" s="13">
        <f t="shared" si="33"/>
        <v>6.4664160000000006</v>
      </c>
      <c r="I522" s="13">
        <f t="shared" si="34"/>
        <v>241.90862256</v>
      </c>
      <c r="J522" s="126"/>
      <c r="K522" s="127"/>
      <c r="L522" s="127"/>
      <c r="M522" s="127"/>
      <c r="N522" s="127"/>
      <c r="O522" s="127"/>
      <c r="P522" s="127"/>
    </row>
    <row r="523" spans="1:16" ht="45" x14ac:dyDescent="0.25">
      <c r="A523" s="164">
        <v>504</v>
      </c>
      <c r="B523" s="207" t="s">
        <v>128</v>
      </c>
      <c r="C523" s="12" t="s">
        <v>68</v>
      </c>
      <c r="D523" s="25" t="s">
        <v>69</v>
      </c>
      <c r="E523" s="112" t="s">
        <v>8</v>
      </c>
      <c r="F523" s="20">
        <f>13.4*2.8-F525</f>
        <v>32.779999999999994</v>
      </c>
      <c r="G523" s="13">
        <v>8.64</v>
      </c>
      <c r="H523" s="13">
        <f t="shared" si="33"/>
        <v>10.581408000000001</v>
      </c>
      <c r="I523" s="13">
        <f t="shared" si="34"/>
        <v>346.85855423999999</v>
      </c>
      <c r="J523" s="126"/>
      <c r="K523" s="127"/>
      <c r="L523" s="127"/>
      <c r="M523" s="127"/>
      <c r="N523" s="127"/>
      <c r="O523" s="127"/>
      <c r="P523" s="127"/>
    </row>
    <row r="524" spans="1:16" ht="60" x14ac:dyDescent="0.25">
      <c r="A524" s="164">
        <v>505</v>
      </c>
      <c r="B524" s="207"/>
      <c r="C524" s="12" t="s">
        <v>70</v>
      </c>
      <c r="D524" s="25" t="s">
        <v>71</v>
      </c>
      <c r="E524" s="112" t="s">
        <v>8</v>
      </c>
      <c r="F524" s="20">
        <f>F523</f>
        <v>32.779999999999994</v>
      </c>
      <c r="G524" s="13">
        <v>4.21</v>
      </c>
      <c r="H524" s="13">
        <f t="shared" si="33"/>
        <v>5.1559869999999997</v>
      </c>
      <c r="I524" s="13">
        <f t="shared" si="34"/>
        <v>169.01325385999996</v>
      </c>
      <c r="J524" s="126"/>
      <c r="K524" s="127"/>
      <c r="L524" s="127"/>
      <c r="M524" s="127"/>
      <c r="N524" s="127"/>
      <c r="O524" s="127"/>
      <c r="P524" s="127"/>
    </row>
    <row r="525" spans="1:16" ht="75" x14ac:dyDescent="0.25">
      <c r="A525" s="164">
        <v>506</v>
      </c>
      <c r="B525" s="207"/>
      <c r="C525" s="12" t="s">
        <v>72</v>
      </c>
      <c r="D525" s="163" t="s">
        <v>73</v>
      </c>
      <c r="E525" s="112" t="s">
        <v>8</v>
      </c>
      <c r="F525" s="20">
        <f>1.5*1.2+0.8*2.1+0.6*2.1</f>
        <v>4.74</v>
      </c>
      <c r="G525" s="13">
        <v>22.57</v>
      </c>
      <c r="H525" s="13">
        <f t="shared" si="33"/>
        <v>27.641479</v>
      </c>
      <c r="I525" s="13">
        <f t="shared" si="34"/>
        <v>131.02061046</v>
      </c>
      <c r="J525" s="126"/>
      <c r="K525" s="127"/>
      <c r="L525" s="127"/>
      <c r="M525" s="127"/>
      <c r="N525" s="127"/>
      <c r="O525" s="127"/>
      <c r="P525" s="127"/>
    </row>
    <row r="526" spans="1:16" ht="60" x14ac:dyDescent="0.25">
      <c r="A526" s="164">
        <v>507</v>
      </c>
      <c r="B526" s="207"/>
      <c r="C526" s="160" t="s">
        <v>74</v>
      </c>
      <c r="D526" s="163" t="s">
        <v>75</v>
      </c>
      <c r="E526" s="112" t="s">
        <v>8</v>
      </c>
      <c r="F526" s="20">
        <v>11.06</v>
      </c>
      <c r="G526" s="13">
        <v>14.14</v>
      </c>
      <c r="H526" s="13">
        <f t="shared" si="33"/>
        <v>17.317258000000002</v>
      </c>
      <c r="I526" s="13">
        <f t="shared" si="34"/>
        <v>191.52887348000004</v>
      </c>
      <c r="J526" s="126"/>
      <c r="K526" s="127"/>
      <c r="L526" s="127"/>
      <c r="M526" s="127"/>
      <c r="N526" s="127"/>
      <c r="O526" s="127"/>
      <c r="P526" s="127"/>
    </row>
    <row r="527" spans="1:16" ht="60" x14ac:dyDescent="0.25">
      <c r="A527" s="164">
        <v>508</v>
      </c>
      <c r="B527" s="207"/>
      <c r="C527" s="113" t="s">
        <v>76</v>
      </c>
      <c r="D527" s="42" t="s">
        <v>77</v>
      </c>
      <c r="E527" s="112" t="s">
        <v>8</v>
      </c>
      <c r="F527" s="20">
        <v>11.06</v>
      </c>
      <c r="G527" s="13">
        <v>5.28</v>
      </c>
      <c r="H527" s="13">
        <f t="shared" si="33"/>
        <v>6.4664160000000006</v>
      </c>
      <c r="I527" s="13">
        <f t="shared" si="34"/>
        <v>71.518560960000016</v>
      </c>
      <c r="J527" s="126"/>
      <c r="K527" s="127"/>
      <c r="L527" s="127"/>
      <c r="M527" s="127"/>
      <c r="N527" s="127"/>
      <c r="O527" s="127"/>
      <c r="P527" s="127"/>
    </row>
    <row r="528" spans="1:16" ht="45" x14ac:dyDescent="0.25">
      <c r="A528" s="164">
        <v>509</v>
      </c>
      <c r="B528" s="207" t="s">
        <v>129</v>
      </c>
      <c r="C528" s="12" t="s">
        <v>68</v>
      </c>
      <c r="D528" s="25" t="s">
        <v>69</v>
      </c>
      <c r="E528" s="112" t="s">
        <v>8</v>
      </c>
      <c r="F528" s="20">
        <f>16.8*2.8-F530</f>
        <v>42.3</v>
      </c>
      <c r="G528" s="13">
        <v>8.64</v>
      </c>
      <c r="H528" s="13">
        <f t="shared" si="33"/>
        <v>10.581408000000001</v>
      </c>
      <c r="I528" s="13">
        <f t="shared" si="34"/>
        <v>447.59355840000001</v>
      </c>
      <c r="J528" s="126"/>
      <c r="K528" s="127"/>
      <c r="L528" s="127"/>
      <c r="M528" s="127"/>
      <c r="N528" s="127"/>
      <c r="O528" s="127"/>
      <c r="P528" s="127"/>
    </row>
    <row r="529" spans="1:16" ht="60" x14ac:dyDescent="0.25">
      <c r="A529" s="164">
        <v>510</v>
      </c>
      <c r="B529" s="207"/>
      <c r="C529" s="12" t="s">
        <v>70</v>
      </c>
      <c r="D529" s="25" t="s">
        <v>71</v>
      </c>
      <c r="E529" s="112" t="s">
        <v>8</v>
      </c>
      <c r="F529" s="20">
        <f>F528</f>
        <v>42.3</v>
      </c>
      <c r="G529" s="13">
        <v>4.21</v>
      </c>
      <c r="H529" s="13">
        <f t="shared" si="33"/>
        <v>5.1559869999999997</v>
      </c>
      <c r="I529" s="13">
        <f t="shared" si="34"/>
        <v>218.09825009999997</v>
      </c>
      <c r="J529" s="126"/>
      <c r="K529" s="127"/>
      <c r="L529" s="127"/>
      <c r="M529" s="127"/>
      <c r="N529" s="127"/>
      <c r="O529" s="127"/>
      <c r="P529" s="127"/>
    </row>
    <row r="530" spans="1:16" ht="75" x14ac:dyDescent="0.25">
      <c r="A530" s="164">
        <v>511</v>
      </c>
      <c r="B530" s="207"/>
      <c r="C530" s="12" t="s">
        <v>72</v>
      </c>
      <c r="D530" s="163" t="s">
        <v>73</v>
      </c>
      <c r="E530" s="112" t="s">
        <v>8</v>
      </c>
      <c r="F530" s="20">
        <f>1.5*1.2+0.8*2.1+0.6*2.1</f>
        <v>4.74</v>
      </c>
      <c r="G530" s="13">
        <v>22.57</v>
      </c>
      <c r="H530" s="13">
        <f t="shared" si="33"/>
        <v>27.641479</v>
      </c>
      <c r="I530" s="13">
        <f t="shared" si="34"/>
        <v>131.02061046</v>
      </c>
      <c r="J530" s="126"/>
      <c r="K530" s="127"/>
      <c r="L530" s="127"/>
      <c r="M530" s="127"/>
      <c r="N530" s="127"/>
      <c r="O530" s="127"/>
      <c r="P530" s="127"/>
    </row>
    <row r="531" spans="1:16" ht="60" x14ac:dyDescent="0.25">
      <c r="A531" s="164">
        <v>512</v>
      </c>
      <c r="B531" s="207"/>
      <c r="C531" s="160" t="s">
        <v>74</v>
      </c>
      <c r="D531" s="163" t="s">
        <v>75</v>
      </c>
      <c r="E531" s="112" t="s">
        <v>8</v>
      </c>
      <c r="F531" s="20">
        <v>15.23</v>
      </c>
      <c r="G531" s="13">
        <v>14.14</v>
      </c>
      <c r="H531" s="13">
        <f t="shared" si="33"/>
        <v>17.317258000000002</v>
      </c>
      <c r="I531" s="13">
        <f t="shared" si="34"/>
        <v>263.74183934000007</v>
      </c>
      <c r="J531" s="126"/>
      <c r="K531" s="127"/>
      <c r="L531" s="127"/>
      <c r="M531" s="127"/>
      <c r="N531" s="127"/>
      <c r="O531" s="127"/>
      <c r="P531" s="127"/>
    </row>
    <row r="532" spans="1:16" ht="60" x14ac:dyDescent="0.25">
      <c r="A532" s="164">
        <v>513</v>
      </c>
      <c r="B532" s="207"/>
      <c r="C532" s="113" t="s">
        <v>76</v>
      </c>
      <c r="D532" s="42" t="s">
        <v>77</v>
      </c>
      <c r="E532" s="112" t="s">
        <v>8</v>
      </c>
      <c r="F532" s="20">
        <v>15.23</v>
      </c>
      <c r="G532" s="13">
        <v>5.28</v>
      </c>
      <c r="H532" s="13">
        <f t="shared" si="33"/>
        <v>6.4664160000000006</v>
      </c>
      <c r="I532" s="13">
        <f t="shared" si="34"/>
        <v>98.483515680000011</v>
      </c>
      <c r="J532" s="126"/>
      <c r="K532" s="127"/>
      <c r="L532" s="127"/>
      <c r="M532" s="127"/>
      <c r="N532" s="127"/>
      <c r="O532" s="127"/>
      <c r="P532" s="127"/>
    </row>
    <row r="533" spans="1:16" ht="45" x14ac:dyDescent="0.25">
      <c r="A533" s="164">
        <v>514</v>
      </c>
      <c r="B533" s="207" t="s">
        <v>133</v>
      </c>
      <c r="C533" s="12" t="s">
        <v>68</v>
      </c>
      <c r="D533" s="25" t="s">
        <v>69</v>
      </c>
      <c r="E533" s="112" t="s">
        <v>8</v>
      </c>
      <c r="F533" s="20">
        <f>79.3*2.8-F535</f>
        <v>192.82</v>
      </c>
      <c r="G533" s="13">
        <v>8.64</v>
      </c>
      <c r="H533" s="13">
        <f t="shared" si="33"/>
        <v>10.581408000000001</v>
      </c>
      <c r="I533" s="13">
        <f t="shared" si="34"/>
        <v>2040.3070905600002</v>
      </c>
      <c r="J533" s="126"/>
      <c r="K533" s="127"/>
      <c r="L533" s="127"/>
      <c r="M533" s="127"/>
      <c r="N533" s="127"/>
      <c r="O533" s="127"/>
      <c r="P533" s="127"/>
    </row>
    <row r="534" spans="1:16" ht="60" x14ac:dyDescent="0.25">
      <c r="A534" s="164">
        <v>515</v>
      </c>
      <c r="B534" s="207"/>
      <c r="C534" s="12" t="s">
        <v>70</v>
      </c>
      <c r="D534" s="25" t="s">
        <v>71</v>
      </c>
      <c r="E534" s="112" t="s">
        <v>8</v>
      </c>
      <c r="F534" s="20">
        <f>F533</f>
        <v>192.82</v>
      </c>
      <c r="G534" s="13">
        <v>4.21</v>
      </c>
      <c r="H534" s="13">
        <f t="shared" si="33"/>
        <v>5.1559869999999997</v>
      </c>
      <c r="I534" s="13">
        <f t="shared" si="34"/>
        <v>994.17741333999993</v>
      </c>
      <c r="J534" s="126"/>
      <c r="K534" s="127"/>
      <c r="L534" s="127"/>
      <c r="M534" s="127"/>
      <c r="N534" s="127"/>
      <c r="O534" s="127"/>
      <c r="P534" s="127"/>
    </row>
    <row r="535" spans="1:16" ht="75" x14ac:dyDescent="0.25">
      <c r="A535" s="164">
        <v>516</v>
      </c>
      <c r="B535" s="207"/>
      <c r="C535" s="12" t="s">
        <v>72</v>
      </c>
      <c r="D535" s="163" t="s">
        <v>73</v>
      </c>
      <c r="E535" s="112" t="s">
        <v>8</v>
      </c>
      <c r="F535" s="20">
        <f>11*0.8*2.1+4*0.6*2.1+1*2.1+2*1*1.8</f>
        <v>29.220000000000006</v>
      </c>
      <c r="G535" s="13">
        <v>22.57</v>
      </c>
      <c r="H535" s="13">
        <f t="shared" si="33"/>
        <v>27.641479</v>
      </c>
      <c r="I535" s="13">
        <f t="shared" si="34"/>
        <v>807.68401638000023</v>
      </c>
      <c r="J535" s="126"/>
      <c r="K535" s="127"/>
      <c r="L535" s="127"/>
      <c r="M535" s="127"/>
      <c r="N535" s="127"/>
      <c r="O535" s="127"/>
      <c r="P535" s="127"/>
    </row>
    <row r="536" spans="1:16" ht="60" x14ac:dyDescent="0.25">
      <c r="A536" s="164">
        <v>517</v>
      </c>
      <c r="B536" s="207"/>
      <c r="C536" s="160" t="s">
        <v>74</v>
      </c>
      <c r="D536" s="163" t="s">
        <v>75</v>
      </c>
      <c r="E536" s="112" t="s">
        <v>8</v>
      </c>
      <c r="F536" s="20">
        <v>144.22</v>
      </c>
      <c r="G536" s="13">
        <v>14.14</v>
      </c>
      <c r="H536" s="13">
        <f t="shared" si="33"/>
        <v>17.317258000000002</v>
      </c>
      <c r="I536" s="13">
        <f t="shared" si="34"/>
        <v>2497.4949487600002</v>
      </c>
      <c r="J536" s="126"/>
      <c r="K536" s="127"/>
      <c r="L536" s="127"/>
      <c r="M536" s="127"/>
      <c r="N536" s="127"/>
      <c r="O536" s="127"/>
      <c r="P536" s="127"/>
    </row>
    <row r="537" spans="1:16" ht="60" x14ac:dyDescent="0.25">
      <c r="A537" s="164">
        <v>518</v>
      </c>
      <c r="B537" s="207"/>
      <c r="C537" s="113" t="s">
        <v>76</v>
      </c>
      <c r="D537" s="42" t="s">
        <v>77</v>
      </c>
      <c r="E537" s="112" t="s">
        <v>8</v>
      </c>
      <c r="F537" s="20">
        <v>144.22</v>
      </c>
      <c r="G537" s="13">
        <v>5.28</v>
      </c>
      <c r="H537" s="13">
        <f t="shared" si="33"/>
        <v>6.4664160000000006</v>
      </c>
      <c r="I537" s="13">
        <f t="shared" si="34"/>
        <v>932.58651552000003</v>
      </c>
      <c r="J537" s="126"/>
      <c r="K537" s="127"/>
      <c r="L537" s="127"/>
      <c r="M537" s="127"/>
      <c r="N537" s="127"/>
      <c r="O537" s="127"/>
      <c r="P537" s="127"/>
    </row>
    <row r="538" spans="1:16" ht="45" x14ac:dyDescent="0.25">
      <c r="A538" s="164">
        <v>519</v>
      </c>
      <c r="B538" s="207" t="s">
        <v>136</v>
      </c>
      <c r="C538" s="12" t="s">
        <v>68</v>
      </c>
      <c r="D538" s="25" t="s">
        <v>69</v>
      </c>
      <c r="E538" s="112" t="s">
        <v>8</v>
      </c>
      <c r="F538" s="20">
        <f>6*2.8-F540</f>
        <v>15.289999999999997</v>
      </c>
      <c r="G538" s="13">
        <v>8.64</v>
      </c>
      <c r="H538" s="13">
        <f t="shared" si="33"/>
        <v>10.581408000000001</v>
      </c>
      <c r="I538" s="13">
        <f t="shared" si="34"/>
        <v>161.78972831999999</v>
      </c>
      <c r="J538" s="126"/>
      <c r="K538" s="127"/>
      <c r="L538" s="127"/>
      <c r="M538" s="127"/>
      <c r="N538" s="127"/>
      <c r="O538" s="127"/>
      <c r="P538" s="127"/>
    </row>
    <row r="539" spans="1:16" ht="60" x14ac:dyDescent="0.25">
      <c r="A539" s="164">
        <v>520</v>
      </c>
      <c r="B539" s="207"/>
      <c r="C539" s="12" t="s">
        <v>70</v>
      </c>
      <c r="D539" s="25" t="s">
        <v>71</v>
      </c>
      <c r="E539" s="112" t="s">
        <v>8</v>
      </c>
      <c r="F539" s="20">
        <f>F538</f>
        <v>15.289999999999997</v>
      </c>
      <c r="G539" s="13">
        <v>4.21</v>
      </c>
      <c r="H539" s="13">
        <f t="shared" si="33"/>
        <v>5.1559869999999997</v>
      </c>
      <c r="I539" s="13">
        <f t="shared" si="34"/>
        <v>78.835041229999987</v>
      </c>
      <c r="J539" s="126"/>
      <c r="K539" s="127"/>
      <c r="L539" s="127"/>
      <c r="M539" s="127"/>
      <c r="N539" s="127"/>
      <c r="O539" s="127"/>
      <c r="P539" s="127"/>
    </row>
    <row r="540" spans="1:16" ht="75" x14ac:dyDescent="0.25">
      <c r="A540" s="164">
        <v>521</v>
      </c>
      <c r="B540" s="207"/>
      <c r="C540" s="12" t="s">
        <v>72</v>
      </c>
      <c r="D540" s="163" t="s">
        <v>73</v>
      </c>
      <c r="E540" s="112" t="s">
        <v>8</v>
      </c>
      <c r="F540" s="20">
        <f>0.5*0.5+0.6*2.1</f>
        <v>1.51</v>
      </c>
      <c r="G540" s="13">
        <v>22.57</v>
      </c>
      <c r="H540" s="13">
        <f t="shared" si="33"/>
        <v>27.641479</v>
      </c>
      <c r="I540" s="13">
        <f t="shared" si="34"/>
        <v>41.738633290000003</v>
      </c>
      <c r="J540" s="126"/>
      <c r="K540" s="127"/>
      <c r="L540" s="127"/>
      <c r="M540" s="127"/>
      <c r="N540" s="127"/>
      <c r="O540" s="127"/>
      <c r="P540" s="127"/>
    </row>
    <row r="541" spans="1:16" ht="60" x14ac:dyDescent="0.25">
      <c r="A541" s="164">
        <v>522</v>
      </c>
      <c r="B541" s="207"/>
      <c r="C541" s="160" t="s">
        <v>74</v>
      </c>
      <c r="D541" s="163" t="s">
        <v>75</v>
      </c>
      <c r="E541" s="112" t="s">
        <v>8</v>
      </c>
      <c r="F541" s="20">
        <v>2.25</v>
      </c>
      <c r="G541" s="13">
        <v>14.14</v>
      </c>
      <c r="H541" s="13">
        <f t="shared" si="33"/>
        <v>17.317258000000002</v>
      </c>
      <c r="I541" s="13">
        <f t="shared" si="34"/>
        <v>38.963830500000007</v>
      </c>
      <c r="J541" s="126"/>
      <c r="K541" s="127"/>
      <c r="L541" s="127"/>
      <c r="M541" s="127"/>
      <c r="N541" s="127"/>
      <c r="O541" s="127"/>
      <c r="P541" s="127"/>
    </row>
    <row r="542" spans="1:16" ht="60" x14ac:dyDescent="0.25">
      <c r="A542" s="164">
        <v>523</v>
      </c>
      <c r="B542" s="207"/>
      <c r="C542" s="113" t="s">
        <v>76</v>
      </c>
      <c r="D542" s="42" t="s">
        <v>77</v>
      </c>
      <c r="E542" s="112" t="s">
        <v>8</v>
      </c>
      <c r="F542" s="20">
        <v>2.25</v>
      </c>
      <c r="G542" s="13">
        <v>5.28</v>
      </c>
      <c r="H542" s="13">
        <f t="shared" si="33"/>
        <v>6.4664160000000006</v>
      </c>
      <c r="I542" s="13">
        <f t="shared" si="34"/>
        <v>14.549436000000002</v>
      </c>
      <c r="J542" s="126"/>
      <c r="K542" s="127"/>
      <c r="L542" s="127"/>
      <c r="M542" s="127"/>
      <c r="N542" s="127"/>
      <c r="O542" s="127"/>
      <c r="P542" s="127"/>
    </row>
    <row r="543" spans="1:16" ht="45" x14ac:dyDescent="0.25">
      <c r="A543" s="164">
        <v>524</v>
      </c>
      <c r="B543" s="207" t="s">
        <v>137</v>
      </c>
      <c r="C543" s="12" t="s">
        <v>68</v>
      </c>
      <c r="D543" s="25" t="s">
        <v>69</v>
      </c>
      <c r="E543" s="112" t="s">
        <v>8</v>
      </c>
      <c r="F543" s="20">
        <f>11.8*2.8-F545</f>
        <v>29.56</v>
      </c>
      <c r="G543" s="13">
        <v>8.64</v>
      </c>
      <c r="H543" s="13">
        <f t="shared" si="33"/>
        <v>10.581408000000001</v>
      </c>
      <c r="I543" s="13">
        <f t="shared" si="34"/>
        <v>312.78642048</v>
      </c>
      <c r="J543" s="126"/>
      <c r="K543" s="127"/>
      <c r="L543" s="127"/>
      <c r="M543" s="127"/>
      <c r="N543" s="127"/>
      <c r="O543" s="127"/>
      <c r="P543" s="127"/>
    </row>
    <row r="544" spans="1:16" ht="60" x14ac:dyDescent="0.25">
      <c r="A544" s="164">
        <v>525</v>
      </c>
      <c r="B544" s="207"/>
      <c r="C544" s="12" t="s">
        <v>70</v>
      </c>
      <c r="D544" s="25" t="s">
        <v>71</v>
      </c>
      <c r="E544" s="112" t="s">
        <v>8</v>
      </c>
      <c r="F544" s="20">
        <f>F543</f>
        <v>29.56</v>
      </c>
      <c r="G544" s="13">
        <v>4.21</v>
      </c>
      <c r="H544" s="13">
        <f t="shared" ref="H544:H573" si="35">G544+G544*B$18</f>
        <v>5.1559869999999997</v>
      </c>
      <c r="I544" s="13">
        <f t="shared" ref="I544:I573" si="36">H544*F544</f>
        <v>152.41097571999998</v>
      </c>
      <c r="J544" s="126"/>
      <c r="K544" s="127"/>
      <c r="L544" s="127"/>
      <c r="M544" s="127"/>
      <c r="N544" s="127"/>
      <c r="O544" s="127"/>
      <c r="P544" s="127"/>
    </row>
    <row r="545" spans="1:16" ht="75" x14ac:dyDescent="0.25">
      <c r="A545" s="164">
        <v>526</v>
      </c>
      <c r="B545" s="207"/>
      <c r="C545" s="12" t="s">
        <v>72</v>
      </c>
      <c r="D545" s="163" t="s">
        <v>73</v>
      </c>
      <c r="E545" s="112" t="s">
        <v>8</v>
      </c>
      <c r="F545" s="20">
        <f>1.5*1.2+0.8*2.1</f>
        <v>3.48</v>
      </c>
      <c r="G545" s="13">
        <v>22.57</v>
      </c>
      <c r="H545" s="13">
        <f t="shared" si="35"/>
        <v>27.641479</v>
      </c>
      <c r="I545" s="13">
        <f t="shared" si="36"/>
        <v>96.192346920000006</v>
      </c>
      <c r="J545" s="126"/>
      <c r="K545" s="127"/>
      <c r="L545" s="127"/>
      <c r="M545" s="127"/>
      <c r="N545" s="127"/>
      <c r="O545" s="127"/>
      <c r="P545" s="127"/>
    </row>
    <row r="546" spans="1:16" ht="60" x14ac:dyDescent="0.25">
      <c r="A546" s="164">
        <v>527</v>
      </c>
      <c r="B546" s="207"/>
      <c r="C546" s="160" t="s">
        <v>74</v>
      </c>
      <c r="D546" s="163" t="s">
        <v>75</v>
      </c>
      <c r="E546" s="112" t="s">
        <v>8</v>
      </c>
      <c r="F546" s="20">
        <v>8.6999999999999993</v>
      </c>
      <c r="G546" s="13">
        <v>14.14</v>
      </c>
      <c r="H546" s="13">
        <f t="shared" si="35"/>
        <v>17.317258000000002</v>
      </c>
      <c r="I546" s="13">
        <f t="shared" si="36"/>
        <v>150.6601446</v>
      </c>
      <c r="J546" s="126"/>
      <c r="K546" s="127"/>
      <c r="L546" s="127"/>
      <c r="M546" s="127"/>
      <c r="N546" s="127"/>
      <c r="O546" s="127"/>
      <c r="P546" s="127"/>
    </row>
    <row r="547" spans="1:16" ht="60" x14ac:dyDescent="0.25">
      <c r="A547" s="164">
        <v>528</v>
      </c>
      <c r="B547" s="207"/>
      <c r="C547" s="113" t="s">
        <v>76</v>
      </c>
      <c r="D547" s="42" t="s">
        <v>77</v>
      </c>
      <c r="E547" s="112" t="s">
        <v>8</v>
      </c>
      <c r="F547" s="20">
        <v>8.6999999999999993</v>
      </c>
      <c r="G547" s="13">
        <v>5.28</v>
      </c>
      <c r="H547" s="13">
        <f t="shared" si="35"/>
        <v>6.4664160000000006</v>
      </c>
      <c r="I547" s="13">
        <f t="shared" si="36"/>
        <v>56.2578192</v>
      </c>
      <c r="J547" s="126"/>
      <c r="K547" s="127"/>
      <c r="L547" s="127"/>
      <c r="M547" s="127"/>
      <c r="N547" s="127"/>
      <c r="O547" s="127"/>
      <c r="P547" s="127"/>
    </row>
    <row r="548" spans="1:16" ht="75" x14ac:dyDescent="0.25">
      <c r="A548" s="164">
        <v>529</v>
      </c>
      <c r="B548" s="207" t="s">
        <v>119</v>
      </c>
      <c r="C548" s="12" t="s">
        <v>72</v>
      </c>
      <c r="D548" s="163" t="s">
        <v>73</v>
      </c>
      <c r="E548" s="112" t="s">
        <v>8</v>
      </c>
      <c r="F548" s="20">
        <f>0.5*0.5+1*2.1</f>
        <v>2.35</v>
      </c>
      <c r="G548" s="13">
        <v>22.57</v>
      </c>
      <c r="H548" s="13">
        <f t="shared" si="35"/>
        <v>27.641479</v>
      </c>
      <c r="I548" s="13">
        <f t="shared" si="36"/>
        <v>64.957475650000006</v>
      </c>
      <c r="J548" s="126"/>
      <c r="K548" s="127"/>
      <c r="L548" s="127"/>
      <c r="M548" s="127"/>
      <c r="N548" s="127"/>
      <c r="O548" s="127"/>
      <c r="P548" s="127"/>
    </row>
    <row r="549" spans="1:16" ht="60" x14ac:dyDescent="0.25">
      <c r="A549" s="164">
        <v>530</v>
      </c>
      <c r="B549" s="207"/>
      <c r="C549" s="160" t="s">
        <v>74</v>
      </c>
      <c r="D549" s="163" t="s">
        <v>75</v>
      </c>
      <c r="E549" s="112" t="s">
        <v>8</v>
      </c>
      <c r="F549" s="20">
        <v>6.81</v>
      </c>
      <c r="G549" s="13">
        <v>14.14</v>
      </c>
      <c r="H549" s="13">
        <f t="shared" si="35"/>
        <v>17.317258000000002</v>
      </c>
      <c r="I549" s="13">
        <f t="shared" si="36"/>
        <v>117.93052698000001</v>
      </c>
      <c r="J549" s="126"/>
      <c r="K549" s="127"/>
      <c r="L549" s="127"/>
      <c r="M549" s="127"/>
      <c r="N549" s="127"/>
      <c r="O549" s="127"/>
      <c r="P549" s="127"/>
    </row>
    <row r="550" spans="1:16" ht="60" x14ac:dyDescent="0.25">
      <c r="A550" s="164">
        <v>531</v>
      </c>
      <c r="B550" s="207"/>
      <c r="C550" s="113" t="s">
        <v>76</v>
      </c>
      <c r="D550" s="42" t="s">
        <v>77</v>
      </c>
      <c r="E550" s="112" t="s">
        <v>8</v>
      </c>
      <c r="F550" s="20">
        <v>6.81</v>
      </c>
      <c r="G550" s="13">
        <v>5.28</v>
      </c>
      <c r="H550" s="13">
        <f t="shared" si="35"/>
        <v>6.4664160000000006</v>
      </c>
      <c r="I550" s="13">
        <f t="shared" si="36"/>
        <v>44.036292960000004</v>
      </c>
      <c r="J550" s="126"/>
      <c r="K550" s="127"/>
      <c r="L550" s="127"/>
      <c r="M550" s="127"/>
      <c r="N550" s="127"/>
      <c r="O550" s="127"/>
      <c r="P550" s="127"/>
    </row>
    <row r="551" spans="1:16" ht="75" x14ac:dyDescent="0.25">
      <c r="A551" s="164">
        <v>532</v>
      </c>
      <c r="B551" s="207" t="s">
        <v>120</v>
      </c>
      <c r="C551" s="12" t="s">
        <v>72</v>
      </c>
      <c r="D551" s="163" t="s">
        <v>73</v>
      </c>
      <c r="E551" s="112" t="s">
        <v>8</v>
      </c>
      <c r="F551" s="20">
        <f>0.5*0.5+0.6*2.1</f>
        <v>1.51</v>
      </c>
      <c r="G551" s="13">
        <v>22.57</v>
      </c>
      <c r="H551" s="13">
        <f t="shared" si="35"/>
        <v>27.641479</v>
      </c>
      <c r="I551" s="13">
        <f t="shared" si="36"/>
        <v>41.738633290000003</v>
      </c>
      <c r="J551" s="126"/>
      <c r="K551" s="127"/>
      <c r="L551" s="127"/>
      <c r="M551" s="127"/>
      <c r="N551" s="127"/>
      <c r="O551" s="127"/>
      <c r="P551" s="127"/>
    </row>
    <row r="552" spans="1:16" ht="60" x14ac:dyDescent="0.25">
      <c r="A552" s="164">
        <v>533</v>
      </c>
      <c r="B552" s="207"/>
      <c r="C552" s="160" t="s">
        <v>74</v>
      </c>
      <c r="D552" s="163" t="s">
        <v>75</v>
      </c>
      <c r="E552" s="112" t="s">
        <v>8</v>
      </c>
      <c r="F552" s="20">
        <v>6.81</v>
      </c>
      <c r="G552" s="13">
        <v>14.14</v>
      </c>
      <c r="H552" s="13">
        <f t="shared" si="35"/>
        <v>17.317258000000002</v>
      </c>
      <c r="I552" s="13">
        <f t="shared" si="36"/>
        <v>117.93052698000001</v>
      </c>
      <c r="J552" s="126"/>
      <c r="K552" s="127"/>
      <c r="L552" s="127"/>
      <c r="M552" s="127"/>
      <c r="N552" s="127"/>
      <c r="O552" s="127"/>
      <c r="P552" s="127"/>
    </row>
    <row r="553" spans="1:16" ht="60" x14ac:dyDescent="0.25">
      <c r="A553" s="164">
        <v>534</v>
      </c>
      <c r="B553" s="207"/>
      <c r="C553" s="113" t="s">
        <v>76</v>
      </c>
      <c r="D553" s="42" t="s">
        <v>77</v>
      </c>
      <c r="E553" s="112" t="s">
        <v>8</v>
      </c>
      <c r="F553" s="20">
        <v>6.81</v>
      </c>
      <c r="G553" s="13">
        <v>5.28</v>
      </c>
      <c r="H553" s="13">
        <f t="shared" si="35"/>
        <v>6.4664160000000006</v>
      </c>
      <c r="I553" s="13">
        <f t="shared" si="36"/>
        <v>44.036292960000004</v>
      </c>
      <c r="J553" s="126"/>
      <c r="K553" s="127"/>
      <c r="L553" s="127"/>
      <c r="M553" s="127"/>
      <c r="N553" s="127"/>
      <c r="O553" s="127"/>
      <c r="P553" s="127"/>
    </row>
    <row r="554" spans="1:16" ht="75" x14ac:dyDescent="0.25">
      <c r="A554" s="164">
        <v>535</v>
      </c>
      <c r="B554" s="207" t="s">
        <v>122</v>
      </c>
      <c r="C554" s="12" t="s">
        <v>72</v>
      </c>
      <c r="D554" s="163" t="s">
        <v>73</v>
      </c>
      <c r="E554" s="112" t="s">
        <v>8</v>
      </c>
      <c r="F554" s="20">
        <f>0.5*0.5+0.6*2.1</f>
        <v>1.51</v>
      </c>
      <c r="G554" s="13">
        <v>22.57</v>
      </c>
      <c r="H554" s="13">
        <f t="shared" si="35"/>
        <v>27.641479</v>
      </c>
      <c r="I554" s="13">
        <f t="shared" si="36"/>
        <v>41.738633290000003</v>
      </c>
      <c r="J554" s="126"/>
      <c r="K554" s="127"/>
      <c r="L554" s="127"/>
      <c r="M554" s="127"/>
      <c r="N554" s="127"/>
      <c r="O554" s="127"/>
      <c r="P554" s="127"/>
    </row>
    <row r="555" spans="1:16" ht="60" x14ac:dyDescent="0.25">
      <c r="A555" s="164">
        <v>536</v>
      </c>
      <c r="B555" s="207"/>
      <c r="C555" s="160" t="s">
        <v>74</v>
      </c>
      <c r="D555" s="163" t="s">
        <v>75</v>
      </c>
      <c r="E555" s="112" t="s">
        <v>8</v>
      </c>
      <c r="F555" s="20">
        <v>2.59</v>
      </c>
      <c r="G555" s="13">
        <v>14.14</v>
      </c>
      <c r="H555" s="13">
        <f t="shared" si="35"/>
        <v>17.317258000000002</v>
      </c>
      <c r="I555" s="13">
        <f t="shared" si="36"/>
        <v>44.851698220000003</v>
      </c>
      <c r="J555" s="126"/>
      <c r="K555" s="127"/>
      <c r="L555" s="127"/>
      <c r="M555" s="127"/>
      <c r="N555" s="127"/>
      <c r="O555" s="127"/>
      <c r="P555" s="127"/>
    </row>
    <row r="556" spans="1:16" ht="60" x14ac:dyDescent="0.25">
      <c r="A556" s="164">
        <v>537</v>
      </c>
      <c r="B556" s="207"/>
      <c r="C556" s="113" t="s">
        <v>76</v>
      </c>
      <c r="D556" s="42" t="s">
        <v>77</v>
      </c>
      <c r="E556" s="112" t="s">
        <v>8</v>
      </c>
      <c r="F556" s="20">
        <v>2.59</v>
      </c>
      <c r="G556" s="13">
        <v>5.28</v>
      </c>
      <c r="H556" s="13">
        <f t="shared" si="35"/>
        <v>6.4664160000000006</v>
      </c>
      <c r="I556" s="13">
        <f t="shared" si="36"/>
        <v>16.748017440000002</v>
      </c>
      <c r="J556" s="126"/>
      <c r="K556" s="127"/>
      <c r="L556" s="127"/>
      <c r="M556" s="127"/>
      <c r="N556" s="127"/>
      <c r="O556" s="127"/>
      <c r="P556" s="127"/>
    </row>
    <row r="557" spans="1:16" ht="75" x14ac:dyDescent="0.25">
      <c r="A557" s="164">
        <v>538</v>
      </c>
      <c r="B557" s="207" t="s">
        <v>134</v>
      </c>
      <c r="C557" s="12" t="s">
        <v>72</v>
      </c>
      <c r="D557" s="163" t="s">
        <v>73</v>
      </c>
      <c r="E557" s="112" t="s">
        <v>8</v>
      </c>
      <c r="F557" s="20">
        <f>0.5*0.5+0.6*2.1</f>
        <v>1.51</v>
      </c>
      <c r="G557" s="13">
        <v>22.57</v>
      </c>
      <c r="H557" s="13">
        <f t="shared" si="35"/>
        <v>27.641479</v>
      </c>
      <c r="I557" s="13">
        <f t="shared" si="36"/>
        <v>41.738633290000003</v>
      </c>
      <c r="J557" s="126"/>
      <c r="K557" s="127"/>
      <c r="L557" s="127"/>
      <c r="M557" s="127"/>
      <c r="N557" s="127"/>
      <c r="O557" s="127"/>
      <c r="P557" s="127"/>
    </row>
    <row r="558" spans="1:16" ht="60" x14ac:dyDescent="0.25">
      <c r="A558" s="164">
        <v>539</v>
      </c>
      <c r="B558" s="207"/>
      <c r="C558" s="160" t="s">
        <v>74</v>
      </c>
      <c r="D558" s="163" t="s">
        <v>75</v>
      </c>
      <c r="E558" s="112" t="s">
        <v>8</v>
      </c>
      <c r="F558" s="20">
        <v>2.59</v>
      </c>
      <c r="G558" s="13">
        <v>14.14</v>
      </c>
      <c r="H558" s="13">
        <f t="shared" si="35"/>
        <v>17.317258000000002</v>
      </c>
      <c r="I558" s="13">
        <f t="shared" si="36"/>
        <v>44.851698220000003</v>
      </c>
      <c r="J558" s="126"/>
      <c r="K558" s="127"/>
      <c r="L558" s="127"/>
      <c r="M558" s="127"/>
      <c r="N558" s="127"/>
      <c r="O558" s="127"/>
      <c r="P558" s="127"/>
    </row>
    <row r="559" spans="1:16" ht="60" x14ac:dyDescent="0.25">
      <c r="A559" s="164">
        <v>540</v>
      </c>
      <c r="B559" s="207"/>
      <c r="C559" s="113" t="s">
        <v>76</v>
      </c>
      <c r="D559" s="42" t="s">
        <v>77</v>
      </c>
      <c r="E559" s="112" t="s">
        <v>8</v>
      </c>
      <c r="F559" s="20">
        <v>2.59</v>
      </c>
      <c r="G559" s="13">
        <v>5.28</v>
      </c>
      <c r="H559" s="13">
        <f t="shared" si="35"/>
        <v>6.4664160000000006</v>
      </c>
      <c r="I559" s="13">
        <f t="shared" si="36"/>
        <v>16.748017440000002</v>
      </c>
      <c r="J559" s="126"/>
      <c r="K559" s="127"/>
      <c r="L559" s="127"/>
      <c r="M559" s="127"/>
      <c r="N559" s="127"/>
      <c r="O559" s="127"/>
      <c r="P559" s="127"/>
    </row>
    <row r="560" spans="1:16" ht="75" x14ac:dyDescent="0.25">
      <c r="A560" s="164">
        <v>541</v>
      </c>
      <c r="B560" s="207" t="s">
        <v>138</v>
      </c>
      <c r="C560" s="12" t="s">
        <v>72</v>
      </c>
      <c r="D560" s="163" t="s">
        <v>73</v>
      </c>
      <c r="E560" s="112" t="s">
        <v>8</v>
      </c>
      <c r="F560" s="20">
        <f>0.6*2.1</f>
        <v>1.26</v>
      </c>
      <c r="G560" s="13">
        <v>22.57</v>
      </c>
      <c r="H560" s="13">
        <f t="shared" si="35"/>
        <v>27.641479</v>
      </c>
      <c r="I560" s="13">
        <f t="shared" si="36"/>
        <v>34.828263540000002</v>
      </c>
      <c r="J560" s="126"/>
      <c r="K560" s="127"/>
      <c r="L560" s="127"/>
      <c r="M560" s="127"/>
      <c r="N560" s="127"/>
      <c r="O560" s="127"/>
      <c r="P560" s="127"/>
    </row>
    <row r="561" spans="1:16" ht="60" x14ac:dyDescent="0.25">
      <c r="A561" s="164">
        <v>542</v>
      </c>
      <c r="B561" s="207"/>
      <c r="C561" s="160" t="s">
        <v>74</v>
      </c>
      <c r="D561" s="163" t="s">
        <v>75</v>
      </c>
      <c r="E561" s="112" t="s">
        <v>8</v>
      </c>
      <c r="F561" s="20">
        <v>8.5</v>
      </c>
      <c r="G561" s="13">
        <v>14.14</v>
      </c>
      <c r="H561" s="13">
        <f t="shared" si="35"/>
        <v>17.317258000000002</v>
      </c>
      <c r="I561" s="13">
        <f t="shared" si="36"/>
        <v>147.19669300000001</v>
      </c>
      <c r="J561" s="126"/>
      <c r="K561" s="127"/>
      <c r="L561" s="127"/>
      <c r="M561" s="127"/>
      <c r="N561" s="127"/>
      <c r="O561" s="127"/>
      <c r="P561" s="127"/>
    </row>
    <row r="562" spans="1:16" ht="60" x14ac:dyDescent="0.25">
      <c r="A562" s="164">
        <v>543</v>
      </c>
      <c r="B562" s="207"/>
      <c r="C562" s="113" t="s">
        <v>76</v>
      </c>
      <c r="D562" s="42" t="s">
        <v>77</v>
      </c>
      <c r="E562" s="112" t="s">
        <v>8</v>
      </c>
      <c r="F562" s="20">
        <v>8.5</v>
      </c>
      <c r="G562" s="13">
        <v>5.28</v>
      </c>
      <c r="H562" s="13">
        <f t="shared" si="35"/>
        <v>6.4664160000000006</v>
      </c>
      <c r="I562" s="13">
        <f t="shared" si="36"/>
        <v>54.964536000000003</v>
      </c>
      <c r="J562" s="126"/>
      <c r="K562" s="127"/>
      <c r="L562" s="127"/>
      <c r="M562" s="127"/>
      <c r="N562" s="127"/>
      <c r="O562" s="127"/>
      <c r="P562" s="127"/>
    </row>
    <row r="563" spans="1:16" ht="75" x14ac:dyDescent="0.25">
      <c r="A563" s="164">
        <v>544</v>
      </c>
      <c r="B563" s="207" t="s">
        <v>139</v>
      </c>
      <c r="C563" s="12" t="s">
        <v>72</v>
      </c>
      <c r="D563" s="163" t="s">
        <v>73</v>
      </c>
      <c r="E563" s="112" t="s">
        <v>8</v>
      </c>
      <c r="F563" s="20">
        <f>0.6*2.1+0.5*0.5</f>
        <v>1.51</v>
      </c>
      <c r="G563" s="13">
        <v>22.57</v>
      </c>
      <c r="H563" s="13">
        <f t="shared" si="35"/>
        <v>27.641479</v>
      </c>
      <c r="I563" s="13">
        <f t="shared" si="36"/>
        <v>41.738633290000003</v>
      </c>
      <c r="J563" s="126"/>
      <c r="K563" s="127"/>
      <c r="L563" s="127"/>
      <c r="M563" s="127"/>
      <c r="N563" s="127"/>
      <c r="O563" s="127"/>
      <c r="P563" s="127"/>
    </row>
    <row r="564" spans="1:16" ht="60" x14ac:dyDescent="0.25">
      <c r="A564" s="164">
        <v>545</v>
      </c>
      <c r="B564" s="207"/>
      <c r="C564" s="160" t="s">
        <v>74</v>
      </c>
      <c r="D564" s="163" t="s">
        <v>75</v>
      </c>
      <c r="E564" s="112" t="s">
        <v>8</v>
      </c>
      <c r="F564" s="20">
        <v>6.66</v>
      </c>
      <c r="G564" s="13">
        <v>14.14</v>
      </c>
      <c r="H564" s="13">
        <f t="shared" si="35"/>
        <v>17.317258000000002</v>
      </c>
      <c r="I564" s="13">
        <f t="shared" si="36"/>
        <v>115.33293828000002</v>
      </c>
      <c r="J564" s="126"/>
      <c r="K564" s="127"/>
      <c r="L564" s="127"/>
      <c r="M564" s="127"/>
      <c r="N564" s="127"/>
      <c r="O564" s="127"/>
      <c r="P564" s="127"/>
    </row>
    <row r="565" spans="1:16" ht="60" x14ac:dyDescent="0.25">
      <c r="A565" s="164">
        <v>546</v>
      </c>
      <c r="B565" s="207"/>
      <c r="C565" s="113" t="s">
        <v>76</v>
      </c>
      <c r="D565" s="42" t="s">
        <v>77</v>
      </c>
      <c r="E565" s="112" t="s">
        <v>8</v>
      </c>
      <c r="F565" s="20">
        <v>6.66</v>
      </c>
      <c r="G565" s="13">
        <v>5.28</v>
      </c>
      <c r="H565" s="13">
        <f t="shared" si="35"/>
        <v>6.4664160000000006</v>
      </c>
      <c r="I565" s="13">
        <f t="shared" si="36"/>
        <v>43.066330560000004</v>
      </c>
      <c r="J565" s="126"/>
      <c r="K565" s="127"/>
      <c r="L565" s="127"/>
      <c r="M565" s="127"/>
      <c r="N565" s="127"/>
      <c r="O565" s="127"/>
      <c r="P565" s="127"/>
    </row>
    <row r="566" spans="1:16" ht="75" x14ac:dyDescent="0.25">
      <c r="A566" s="164">
        <v>547</v>
      </c>
      <c r="B566" s="207" t="s">
        <v>123</v>
      </c>
      <c r="C566" s="12" t="s">
        <v>72</v>
      </c>
      <c r="D566" s="163" t="s">
        <v>73</v>
      </c>
      <c r="E566" s="112" t="s">
        <v>8</v>
      </c>
      <c r="F566" s="20">
        <f>0.8*2.1+1.5*1.2</f>
        <v>3.48</v>
      </c>
      <c r="G566" s="13">
        <v>22.57</v>
      </c>
      <c r="H566" s="13">
        <f t="shared" si="35"/>
        <v>27.641479</v>
      </c>
      <c r="I566" s="13">
        <f t="shared" si="36"/>
        <v>96.192346920000006</v>
      </c>
      <c r="J566" s="126"/>
      <c r="K566" s="127"/>
      <c r="L566" s="127"/>
      <c r="M566" s="127"/>
      <c r="N566" s="127"/>
      <c r="O566" s="127"/>
      <c r="P566" s="127"/>
    </row>
    <row r="567" spans="1:16" ht="60" x14ac:dyDescent="0.25">
      <c r="A567" s="164">
        <v>548</v>
      </c>
      <c r="B567" s="207"/>
      <c r="C567" s="160" t="s">
        <v>74</v>
      </c>
      <c r="D567" s="163" t="s">
        <v>75</v>
      </c>
      <c r="E567" s="112" t="s">
        <v>8</v>
      </c>
      <c r="F567" s="20">
        <v>15.03</v>
      </c>
      <c r="G567" s="13">
        <v>14.14</v>
      </c>
      <c r="H567" s="13">
        <f t="shared" si="35"/>
        <v>17.317258000000002</v>
      </c>
      <c r="I567" s="13">
        <f t="shared" si="36"/>
        <v>260.27838774000003</v>
      </c>
      <c r="J567" s="126"/>
      <c r="K567" s="127"/>
      <c r="L567" s="127"/>
      <c r="M567" s="127"/>
      <c r="N567" s="127"/>
      <c r="O567" s="127"/>
      <c r="P567" s="127"/>
    </row>
    <row r="568" spans="1:16" ht="60" x14ac:dyDescent="0.25">
      <c r="A568" s="164">
        <v>549</v>
      </c>
      <c r="B568" s="207"/>
      <c r="C568" s="113" t="s">
        <v>76</v>
      </c>
      <c r="D568" s="42" t="s">
        <v>77</v>
      </c>
      <c r="E568" s="112" t="s">
        <v>8</v>
      </c>
      <c r="F568" s="20">
        <v>15.03</v>
      </c>
      <c r="G568" s="13">
        <v>5.28</v>
      </c>
      <c r="H568" s="13">
        <f t="shared" si="35"/>
        <v>6.4664160000000006</v>
      </c>
      <c r="I568" s="13">
        <f t="shared" si="36"/>
        <v>97.190232480000006</v>
      </c>
      <c r="J568" s="126"/>
      <c r="K568" s="127"/>
      <c r="L568" s="127"/>
      <c r="M568" s="127"/>
      <c r="N568" s="127"/>
      <c r="O568" s="127"/>
      <c r="P568" s="127"/>
    </row>
    <row r="569" spans="1:16" ht="45" x14ac:dyDescent="0.25">
      <c r="A569" s="164">
        <v>550</v>
      </c>
      <c r="B569" s="207" t="s">
        <v>125</v>
      </c>
      <c r="C569" s="12" t="s">
        <v>68</v>
      </c>
      <c r="D569" s="25" t="s">
        <v>69</v>
      </c>
      <c r="E569" s="112" t="s">
        <v>8</v>
      </c>
      <c r="F569" s="20">
        <f>25.15*4.8+8.95*(4.8+3.4)/2+1.95*3.4+12.65*4.4+23.2*3.5+5.95*(4.8+3.7)/2+9.95*(3.7+5.1)/2+6*(5.1+3.5)/2</f>
        <v>395.77249999999998</v>
      </c>
      <c r="G569" s="13">
        <v>8.64</v>
      </c>
      <c r="H569" s="13">
        <f t="shared" si="35"/>
        <v>10.581408000000001</v>
      </c>
      <c r="I569" s="13">
        <f t="shared" si="36"/>
        <v>4187.8302976800005</v>
      </c>
      <c r="J569" s="126"/>
      <c r="K569" s="127"/>
      <c r="L569" s="127"/>
      <c r="M569" s="127"/>
      <c r="N569" s="127"/>
      <c r="O569" s="127"/>
      <c r="P569" s="127"/>
    </row>
    <row r="570" spans="1:16" ht="60" x14ac:dyDescent="0.25">
      <c r="A570" s="164">
        <v>551</v>
      </c>
      <c r="B570" s="207"/>
      <c r="C570" s="12" t="s">
        <v>70</v>
      </c>
      <c r="D570" s="25" t="s">
        <v>71</v>
      </c>
      <c r="E570" s="112" t="s">
        <v>8</v>
      </c>
      <c r="F570" s="20">
        <f>F569</f>
        <v>395.77249999999998</v>
      </c>
      <c r="G570" s="13">
        <v>4.21</v>
      </c>
      <c r="H570" s="13">
        <f t="shared" si="35"/>
        <v>5.1559869999999997</v>
      </c>
      <c r="I570" s="13">
        <f t="shared" si="36"/>
        <v>2040.5978649574997</v>
      </c>
      <c r="J570" s="126"/>
      <c r="K570" s="127"/>
      <c r="L570" s="127"/>
      <c r="M570" s="127"/>
      <c r="N570" s="127"/>
      <c r="O570" s="127"/>
      <c r="P570" s="127"/>
    </row>
    <row r="571" spans="1:16" ht="45" x14ac:dyDescent="0.25">
      <c r="A571" s="164">
        <v>552</v>
      </c>
      <c r="B571" s="207" t="s">
        <v>124</v>
      </c>
      <c r="C571" s="12" t="s">
        <v>68</v>
      </c>
      <c r="D571" s="25" t="s">
        <v>69</v>
      </c>
      <c r="E571" s="112" t="s">
        <v>8</v>
      </c>
      <c r="F571" s="20">
        <f>185*2.2</f>
        <v>407.00000000000006</v>
      </c>
      <c r="G571" s="13">
        <v>8.64</v>
      </c>
      <c r="H571" s="13">
        <f t="shared" si="35"/>
        <v>10.581408000000001</v>
      </c>
      <c r="I571" s="13">
        <f t="shared" si="36"/>
        <v>4306.6330560000015</v>
      </c>
      <c r="J571" s="126"/>
      <c r="K571" s="127"/>
      <c r="L571" s="127"/>
      <c r="M571" s="127"/>
      <c r="N571" s="127"/>
      <c r="O571" s="127"/>
      <c r="P571" s="127"/>
    </row>
    <row r="572" spans="1:16" ht="60" x14ac:dyDescent="0.25">
      <c r="A572" s="164">
        <v>553</v>
      </c>
      <c r="B572" s="207"/>
      <c r="C572" s="12" t="s">
        <v>70</v>
      </c>
      <c r="D572" s="25" t="s">
        <v>71</v>
      </c>
      <c r="E572" s="112" t="s">
        <v>8</v>
      </c>
      <c r="F572" s="20">
        <f>F571</f>
        <v>407.00000000000006</v>
      </c>
      <c r="G572" s="13">
        <v>4.21</v>
      </c>
      <c r="H572" s="13">
        <f t="shared" si="35"/>
        <v>5.1559869999999997</v>
      </c>
      <c r="I572" s="13">
        <f t="shared" si="36"/>
        <v>2098.4867090000002</v>
      </c>
      <c r="J572" s="126"/>
      <c r="K572" s="127"/>
      <c r="L572" s="127"/>
      <c r="M572" s="127"/>
      <c r="N572" s="127"/>
      <c r="O572" s="127"/>
      <c r="P572" s="127"/>
    </row>
    <row r="573" spans="1:16" ht="75" x14ac:dyDescent="0.25">
      <c r="A573" s="164">
        <v>554</v>
      </c>
      <c r="B573" s="207"/>
      <c r="C573" s="12" t="s">
        <v>72</v>
      </c>
      <c r="D573" s="163" t="s">
        <v>73</v>
      </c>
      <c r="E573" s="112" t="s">
        <v>8</v>
      </c>
      <c r="F573" s="20">
        <f>3*2.2</f>
        <v>6.6000000000000005</v>
      </c>
      <c r="G573" s="13">
        <v>22.57</v>
      </c>
      <c r="H573" s="13">
        <f t="shared" si="35"/>
        <v>27.641479</v>
      </c>
      <c r="I573" s="13">
        <f t="shared" si="36"/>
        <v>182.43376140000001</v>
      </c>
      <c r="J573" s="126"/>
      <c r="K573" s="127"/>
      <c r="L573" s="127"/>
      <c r="M573" s="127"/>
      <c r="N573" s="127"/>
      <c r="O573" s="127"/>
      <c r="P573" s="127"/>
    </row>
    <row r="574" spans="1:16" x14ac:dyDescent="0.25">
      <c r="A574" s="161"/>
      <c r="B574" s="155"/>
      <c r="C574" s="162"/>
      <c r="D574" s="17"/>
      <c r="E574" s="3"/>
      <c r="F574" s="29"/>
      <c r="G574" s="9"/>
      <c r="H574" s="5" t="s">
        <v>28</v>
      </c>
      <c r="I574" s="30">
        <f>SUM(I479,I405,I330,I274,I20)</f>
        <v>578086.40842545475</v>
      </c>
      <c r="J574" s="239"/>
      <c r="K574" s="239"/>
      <c r="L574" s="239"/>
      <c r="M574" s="239"/>
      <c r="N574" s="239"/>
      <c r="O574" s="239"/>
      <c r="P574" s="239"/>
    </row>
    <row r="575" spans="1:16" x14ac:dyDescent="0.25">
      <c r="A575" s="149"/>
      <c r="B575" s="49"/>
      <c r="C575" s="50"/>
      <c r="D575" s="51"/>
      <c r="E575" s="52"/>
      <c r="F575" s="53"/>
      <c r="G575" s="54"/>
      <c r="H575" s="55"/>
      <c r="I575" s="54"/>
      <c r="J575" s="125"/>
      <c r="K575" s="66"/>
      <c r="L575" s="66"/>
      <c r="M575" s="66"/>
      <c r="N575" s="66"/>
      <c r="O575" s="66"/>
      <c r="P575" s="130"/>
    </row>
    <row r="576" spans="1:16" x14ac:dyDescent="0.25">
      <c r="A576" s="185"/>
      <c r="B576" s="156" t="s">
        <v>36</v>
      </c>
      <c r="C576" s="44" t="s">
        <v>37</v>
      </c>
      <c r="D576" s="58"/>
      <c r="E576" s="193" t="s">
        <v>38</v>
      </c>
      <c r="F576" s="193"/>
      <c r="G576" s="193"/>
      <c r="H576" s="193"/>
      <c r="I576" s="45"/>
      <c r="J576" s="125"/>
      <c r="K576" s="66"/>
      <c r="L576" s="66"/>
      <c r="M576" s="66"/>
      <c r="N576" s="66"/>
      <c r="O576" s="66"/>
      <c r="P576" s="130"/>
    </row>
    <row r="577" spans="1:16" x14ac:dyDescent="0.25">
      <c r="A577" s="185"/>
      <c r="B577" s="63" t="s">
        <v>39</v>
      </c>
      <c r="C577" s="44" t="s">
        <v>40</v>
      </c>
      <c r="D577" s="58"/>
      <c r="E577" s="46" t="s">
        <v>41</v>
      </c>
      <c r="F577" s="192" t="s">
        <v>42</v>
      </c>
      <c r="G577" s="192"/>
      <c r="H577" s="192"/>
      <c r="I577" s="47"/>
      <c r="J577" s="125"/>
      <c r="K577" s="66"/>
      <c r="L577" s="66"/>
      <c r="M577" s="66"/>
      <c r="N577" s="66"/>
      <c r="O577" s="66"/>
      <c r="P577" s="130"/>
    </row>
    <row r="578" spans="1:16" x14ac:dyDescent="0.25">
      <c r="A578" s="186"/>
      <c r="B578" s="63"/>
      <c r="C578" s="63"/>
      <c r="D578" s="58"/>
      <c r="E578" s="46" t="s">
        <v>43</v>
      </c>
      <c r="F578" s="192" t="s">
        <v>44</v>
      </c>
      <c r="G578" s="192"/>
      <c r="H578" s="192"/>
      <c r="I578" s="47"/>
      <c r="J578" s="125"/>
      <c r="K578" s="66"/>
      <c r="L578" s="66"/>
      <c r="M578" s="66"/>
      <c r="N578" s="66"/>
      <c r="O578" s="66"/>
      <c r="P578" s="130"/>
    </row>
    <row r="579" spans="1:16" x14ac:dyDescent="0.25">
      <c r="A579" s="185"/>
      <c r="B579" s="64"/>
      <c r="C579" s="65"/>
      <c r="D579" s="58"/>
      <c r="E579" s="66"/>
      <c r="F579" s="67"/>
      <c r="G579" s="68"/>
      <c r="H579" s="69"/>
      <c r="I579" s="68"/>
      <c r="J579" s="125"/>
      <c r="K579" s="66"/>
      <c r="L579" s="66"/>
      <c r="M579" s="66"/>
      <c r="N579" s="66"/>
      <c r="O579" s="66"/>
      <c r="P579" s="130"/>
    </row>
    <row r="580" spans="1:16" x14ac:dyDescent="0.25">
      <c r="A580" s="185"/>
      <c r="B580" s="64"/>
      <c r="C580" s="65"/>
      <c r="D580" s="58"/>
      <c r="E580" s="66"/>
      <c r="F580" s="67"/>
      <c r="G580" s="68"/>
      <c r="H580" s="69"/>
      <c r="I580" s="68"/>
      <c r="J580" s="125"/>
      <c r="K580" s="66"/>
      <c r="L580" s="66"/>
      <c r="M580" s="66"/>
      <c r="N580" s="66"/>
      <c r="O580" s="66"/>
      <c r="P580" s="130"/>
    </row>
    <row r="581" spans="1:16" x14ac:dyDescent="0.25">
      <c r="A581" s="187"/>
      <c r="B581" s="72"/>
      <c r="C581" s="73"/>
      <c r="D581" s="74"/>
      <c r="E581" s="75"/>
      <c r="F581" s="76"/>
      <c r="G581" s="77"/>
      <c r="H581" s="78"/>
      <c r="I581" s="77"/>
      <c r="J581" s="131"/>
      <c r="K581" s="75"/>
      <c r="L581" s="75"/>
      <c r="M581" s="75"/>
      <c r="N581" s="75"/>
      <c r="O581" s="75"/>
      <c r="P581" s="132"/>
    </row>
  </sheetData>
  <mergeCells count="154">
    <mergeCell ref="M18:M20"/>
    <mergeCell ref="N18:N20"/>
    <mergeCell ref="O18:O20"/>
    <mergeCell ref="B21:H21"/>
    <mergeCell ref="B23:H23"/>
    <mergeCell ref="B49:H49"/>
    <mergeCell ref="B50:B51"/>
    <mergeCell ref="B52:B55"/>
    <mergeCell ref="B56:B59"/>
    <mergeCell ref="B60:B63"/>
    <mergeCell ref="B64:B67"/>
    <mergeCell ref="A1:P11"/>
    <mergeCell ref="B20:H20"/>
    <mergeCell ref="J17:L17"/>
    <mergeCell ref="M17:O17"/>
    <mergeCell ref="A16:I16"/>
    <mergeCell ref="A17:I17"/>
    <mergeCell ref="A12:F13"/>
    <mergeCell ref="G12:I12"/>
    <mergeCell ref="G13:I13"/>
    <mergeCell ref="A14:F14"/>
    <mergeCell ref="G14:G15"/>
    <mergeCell ref="H14:I14"/>
    <mergeCell ref="A15:F15"/>
    <mergeCell ref="H15:I15"/>
    <mergeCell ref="J12:P16"/>
    <mergeCell ref="P17:P20"/>
    <mergeCell ref="J18:J20"/>
    <mergeCell ref="K18:K20"/>
    <mergeCell ref="L18:L20"/>
    <mergeCell ref="B150:B156"/>
    <mergeCell ref="B157:H157"/>
    <mergeCell ref="B158:B159"/>
    <mergeCell ref="B160:B164"/>
    <mergeCell ref="B165:B169"/>
    <mergeCell ref="B68:B71"/>
    <mergeCell ref="B72:B75"/>
    <mergeCell ref="B76:B79"/>
    <mergeCell ref="B80:B83"/>
    <mergeCell ref="B132:H132"/>
    <mergeCell ref="B195:B199"/>
    <mergeCell ref="B200:B202"/>
    <mergeCell ref="B203:B207"/>
    <mergeCell ref="B208:B210"/>
    <mergeCell ref="B211:B213"/>
    <mergeCell ref="B170:B174"/>
    <mergeCell ref="B175:B179"/>
    <mergeCell ref="B180:B184"/>
    <mergeCell ref="B185:B189"/>
    <mergeCell ref="B190:B194"/>
    <mergeCell ref="B233:B235"/>
    <mergeCell ref="B236:B238"/>
    <mergeCell ref="B239:B243"/>
    <mergeCell ref="B244:B248"/>
    <mergeCell ref="B249:B253"/>
    <mergeCell ref="B214:B218"/>
    <mergeCell ref="B219:B223"/>
    <mergeCell ref="B224:B226"/>
    <mergeCell ref="B227:B229"/>
    <mergeCell ref="B230:B232"/>
    <mergeCell ref="B274:H274"/>
    <mergeCell ref="B276:B277"/>
    <mergeCell ref="B278:B282"/>
    <mergeCell ref="B283:B287"/>
    <mergeCell ref="B288:B292"/>
    <mergeCell ref="B254:B258"/>
    <mergeCell ref="B259:B263"/>
    <mergeCell ref="B264:B268"/>
    <mergeCell ref="B269:B270"/>
    <mergeCell ref="B271:B273"/>
    <mergeCell ref="B314:B318"/>
    <mergeCell ref="B319:B321"/>
    <mergeCell ref="B322:B324"/>
    <mergeCell ref="B325:B326"/>
    <mergeCell ref="B327:B329"/>
    <mergeCell ref="B293:B297"/>
    <mergeCell ref="B298:B302"/>
    <mergeCell ref="B303:B307"/>
    <mergeCell ref="B308:B310"/>
    <mergeCell ref="B311:B313"/>
    <mergeCell ref="B349:B353"/>
    <mergeCell ref="B354:B358"/>
    <mergeCell ref="B359:B363"/>
    <mergeCell ref="B364:B368"/>
    <mergeCell ref="B369:B373"/>
    <mergeCell ref="B330:H330"/>
    <mergeCell ref="B332:B333"/>
    <mergeCell ref="B334:B338"/>
    <mergeCell ref="B339:B343"/>
    <mergeCell ref="B344:B348"/>
    <mergeCell ref="B393:B397"/>
    <mergeCell ref="B398:B401"/>
    <mergeCell ref="B402:B404"/>
    <mergeCell ref="B405:H405"/>
    <mergeCell ref="B407:B408"/>
    <mergeCell ref="B374:B378"/>
    <mergeCell ref="B379:B383"/>
    <mergeCell ref="B384:B386"/>
    <mergeCell ref="B387:B389"/>
    <mergeCell ref="B390:B392"/>
    <mergeCell ref="B434:B438"/>
    <mergeCell ref="B439:B443"/>
    <mergeCell ref="B444:B448"/>
    <mergeCell ref="B449:B453"/>
    <mergeCell ref="B454:B458"/>
    <mergeCell ref="B409:B413"/>
    <mergeCell ref="B414:B418"/>
    <mergeCell ref="B419:B423"/>
    <mergeCell ref="B424:B428"/>
    <mergeCell ref="B429:B433"/>
    <mergeCell ref="B474:B475"/>
    <mergeCell ref="B476:B478"/>
    <mergeCell ref="B479:H479"/>
    <mergeCell ref="B481:B482"/>
    <mergeCell ref="B483:B487"/>
    <mergeCell ref="B459:B461"/>
    <mergeCell ref="B462:B464"/>
    <mergeCell ref="B465:B467"/>
    <mergeCell ref="B468:B470"/>
    <mergeCell ref="B471:B473"/>
    <mergeCell ref="B513:B517"/>
    <mergeCell ref="B518:B522"/>
    <mergeCell ref="B523:B527"/>
    <mergeCell ref="B528:B532"/>
    <mergeCell ref="B533:B537"/>
    <mergeCell ref="B488:B492"/>
    <mergeCell ref="B493:B497"/>
    <mergeCell ref="B498:B502"/>
    <mergeCell ref="B503:B507"/>
    <mergeCell ref="B508:B512"/>
    <mergeCell ref="B571:B573"/>
    <mergeCell ref="E576:H576"/>
    <mergeCell ref="F577:H577"/>
    <mergeCell ref="F578:H578"/>
    <mergeCell ref="J21:P21"/>
    <mergeCell ref="J23:P23"/>
    <mergeCell ref="J49:P49"/>
    <mergeCell ref="J132:P132"/>
    <mergeCell ref="J157:P157"/>
    <mergeCell ref="J274:P274"/>
    <mergeCell ref="J330:P330"/>
    <mergeCell ref="J405:P405"/>
    <mergeCell ref="J479:P479"/>
    <mergeCell ref="J574:P574"/>
    <mergeCell ref="B557:B559"/>
    <mergeCell ref="B560:B562"/>
    <mergeCell ref="B563:B565"/>
    <mergeCell ref="B566:B568"/>
    <mergeCell ref="B569:B570"/>
    <mergeCell ref="B538:B542"/>
    <mergeCell ref="B543:B547"/>
    <mergeCell ref="B548:B550"/>
    <mergeCell ref="B551:B553"/>
    <mergeCell ref="B554:B556"/>
  </mergeCells>
  <pageMargins left="0.25" right="0.25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BDI</vt:lpstr>
      <vt:lpstr>MC</vt:lpstr>
      <vt:lpstr>PO</vt:lpstr>
      <vt:lpstr>CFF</vt:lpstr>
      <vt:lpstr>BM</vt:lpstr>
      <vt:lpstr>BM!Area_de_impressao</vt:lpstr>
      <vt:lpstr>CFF!Area_de_impressao</vt:lpstr>
      <vt:lpstr>MC!Area_de_impressao</vt:lpstr>
      <vt:lpstr>PO!Area_de_impressao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LICITAÇÃO</cp:lastModifiedBy>
  <cp:lastPrinted>2020-04-14T17:59:30Z</cp:lastPrinted>
  <dcterms:created xsi:type="dcterms:W3CDTF">2019-08-31T17:31:57Z</dcterms:created>
  <dcterms:modified xsi:type="dcterms:W3CDTF">2020-04-14T17:59:33Z</dcterms:modified>
</cp:coreProperties>
</file>